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windocu\RESEARCH\examples\Portfolio\"/>
    </mc:Choice>
  </mc:AlternateContent>
  <xr:revisionPtr revIDLastSave="0" documentId="13_ncr:1_{70A5F5CD-6B57-4403-A7A9-BF9A2AAD23E9}" xr6:coauthVersionLast="47" xr6:coauthVersionMax="47" xr10:uidLastSave="{00000000-0000-0000-0000-000000000000}"/>
  <bookViews>
    <workbookView xWindow="3393" yWindow="1703" windowWidth="26509" windowHeight="15126" activeTab="2" xr2:uid="{00000000-000D-0000-FFFF-FFFF00000000}"/>
  </bookViews>
  <sheets>
    <sheet name="テスト" sheetId="1" r:id="rId1"/>
    <sheet name="例1)均等返済" sheetId="4" r:id="rId2"/>
    <sheet name="関数いろいろ" sheetId="3" r:id="rId3"/>
    <sheet name="関数 債券" sheetId="2" r:id="rId4"/>
    <sheet name="関数 債券2" sheetId="6" r:id="rId5"/>
    <sheet name="例2)均等返済" sheetId="5" r:id="rId6"/>
  </sheets>
  <definedNames>
    <definedName name="solver_adj" localSheetId="1" hidden="1">'例1)均等返済'!$D$11</definedName>
    <definedName name="solver_adj" localSheetId="5" hidden="1">'例2)均等返済'!$C$13</definedName>
    <definedName name="solver_cvg" localSheetId="1" hidden="1">0.0001</definedName>
    <definedName name="solver_cvg" localSheetId="5" hidden="1">0.000001</definedName>
    <definedName name="solver_drv" localSheetId="1" hidden="1">1</definedName>
    <definedName name="solver_drv" localSheetId="5" hidden="1">1</definedName>
    <definedName name="solver_eng" localSheetId="1" hidden="1">1</definedName>
    <definedName name="solver_eng" localSheetId="5" hidden="1">1</definedName>
    <definedName name="solver_est" localSheetId="1" hidden="1">1</definedName>
    <definedName name="solver_est" localSheetId="5" hidden="1">1</definedName>
    <definedName name="solver_itr" localSheetId="1" hidden="1">2147483647</definedName>
    <definedName name="solver_itr" localSheetId="5" hidden="1">2147483647</definedName>
    <definedName name="solver_mip" localSheetId="1" hidden="1">2147483647</definedName>
    <definedName name="solver_mip" localSheetId="5" hidden="1">2147483647</definedName>
    <definedName name="solver_mni" localSheetId="1" hidden="1">30</definedName>
    <definedName name="solver_mni" localSheetId="5" hidden="1">30</definedName>
    <definedName name="solver_mrt" localSheetId="1" hidden="1">0.075</definedName>
    <definedName name="solver_mrt" localSheetId="5" hidden="1">0.075</definedName>
    <definedName name="solver_msl" localSheetId="1" hidden="1">2</definedName>
    <definedName name="solver_msl" localSheetId="5" hidden="1">2</definedName>
    <definedName name="solver_neg" localSheetId="1" hidden="1">1</definedName>
    <definedName name="solver_neg" localSheetId="5" hidden="1">1</definedName>
    <definedName name="solver_nod" localSheetId="1" hidden="1">2147483647</definedName>
    <definedName name="solver_nod" localSheetId="5" hidden="1">2147483647</definedName>
    <definedName name="solver_num" localSheetId="1" hidden="1">0</definedName>
    <definedName name="solver_num" localSheetId="5" hidden="1">0</definedName>
    <definedName name="solver_nwt" localSheetId="1" hidden="1">1</definedName>
    <definedName name="solver_nwt" localSheetId="5" hidden="1">1</definedName>
    <definedName name="solver_opt" localSheetId="1" hidden="1">'例1)均等返済'!$C$12</definedName>
    <definedName name="solver_opt" localSheetId="5" hidden="1">'例2)均等返済'!$B$14</definedName>
    <definedName name="solver_pre" localSheetId="1" hidden="1">0.000001</definedName>
    <definedName name="solver_pre" localSheetId="5" hidden="1">0.0000000001</definedName>
    <definedName name="solver_rbv" localSheetId="1" hidden="1">1</definedName>
    <definedName name="solver_rbv" localSheetId="5" hidden="1">1</definedName>
    <definedName name="solver_rlx" localSheetId="1" hidden="1">2</definedName>
    <definedName name="solver_rlx" localSheetId="5" hidden="1">2</definedName>
    <definedName name="solver_rsd" localSheetId="1" hidden="1">0</definedName>
    <definedName name="solver_rsd" localSheetId="5" hidden="1">0</definedName>
    <definedName name="solver_scl" localSheetId="1" hidden="1">1</definedName>
    <definedName name="solver_scl" localSheetId="5" hidden="1">1</definedName>
    <definedName name="solver_sho" localSheetId="1" hidden="1">2</definedName>
    <definedName name="solver_sho" localSheetId="5" hidden="1">2</definedName>
    <definedName name="solver_ssz" localSheetId="1" hidden="1">100</definedName>
    <definedName name="solver_ssz" localSheetId="5" hidden="1">100</definedName>
    <definedName name="solver_tim" localSheetId="1" hidden="1">2147483647</definedName>
    <definedName name="solver_tim" localSheetId="5" hidden="1">2147483647</definedName>
    <definedName name="solver_tol" localSheetId="1" hidden="1">0.01</definedName>
    <definedName name="solver_tol" localSheetId="5" hidden="1">0.01</definedName>
    <definedName name="solver_typ" localSheetId="1" hidden="1">3</definedName>
    <definedName name="solver_typ" localSheetId="5" hidden="1">3</definedName>
    <definedName name="solver_val" localSheetId="1" hidden="1">10000000</definedName>
    <definedName name="solver_val" localSheetId="5" hidden="1">10000000</definedName>
    <definedName name="solver_ver" localSheetId="1" hidden="1">3</definedName>
    <definedName name="solver_ver" localSheetId="5" hidden="1">3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1" l="1"/>
  <c r="C1" i="5"/>
  <c r="C14" i="5"/>
  <c r="D13" i="5"/>
  <c r="D14" i="5"/>
  <c r="E13" i="5"/>
  <c r="E14" i="5"/>
  <c r="F13" i="5"/>
  <c r="F14" i="5"/>
  <c r="G13" i="5"/>
  <c r="G14" i="5"/>
  <c r="H13" i="5"/>
  <c r="H14" i="5"/>
  <c r="I13" i="5"/>
  <c r="I14" i="5"/>
  <c r="J13" i="5"/>
  <c r="J14" i="5"/>
  <c r="K13" i="5"/>
  <c r="K14" i="5"/>
  <c r="L13" i="5"/>
  <c r="L14" i="5"/>
  <c r="M13" i="5"/>
  <c r="M14" i="5"/>
  <c r="N13" i="5"/>
  <c r="N14" i="5"/>
  <c r="C17" i="5"/>
  <c r="C18" i="5"/>
  <c r="D17" i="5"/>
  <c r="D18" i="5"/>
  <c r="E17" i="5"/>
  <c r="E18" i="5"/>
  <c r="F17" i="5"/>
  <c r="F18" i="5"/>
  <c r="G17" i="5"/>
  <c r="G18" i="5"/>
  <c r="H17" i="5"/>
  <c r="H18" i="5"/>
  <c r="I17" i="5"/>
  <c r="I18" i="5"/>
  <c r="J17" i="5"/>
  <c r="J18" i="5"/>
  <c r="K17" i="5"/>
  <c r="K18" i="5"/>
  <c r="L17" i="5"/>
  <c r="L18" i="5"/>
  <c r="M17" i="5"/>
  <c r="M18" i="5"/>
  <c r="N17" i="5"/>
  <c r="N18" i="5"/>
  <c r="B14" i="5"/>
  <c r="B12" i="6"/>
  <c r="B14" i="6"/>
  <c r="B17" i="6"/>
  <c r="D17" i="6"/>
  <c r="F16" i="6"/>
  <c r="F17" i="6"/>
  <c r="G16" i="6"/>
  <c r="G17" i="6"/>
  <c r="H16" i="6"/>
  <c r="H17" i="6"/>
  <c r="I16" i="6"/>
  <c r="I17" i="6"/>
  <c r="E17" i="6"/>
  <c r="D18" i="6"/>
  <c r="B16" i="6"/>
  <c r="B18" i="6"/>
  <c r="B19" i="6"/>
  <c r="B13" i="6"/>
  <c r="B11" i="6"/>
  <c r="B10" i="6"/>
  <c r="B9" i="6"/>
  <c r="B78" i="1"/>
  <c r="B80" i="1"/>
  <c r="B81" i="1"/>
  <c r="C67" i="1"/>
  <c r="C69" i="1"/>
  <c r="E72" i="1"/>
  <c r="G72" i="1"/>
  <c r="H72" i="1"/>
  <c r="I72" i="1"/>
  <c r="J72" i="1"/>
  <c r="F72" i="1"/>
  <c r="E73" i="1"/>
  <c r="B67" i="1"/>
  <c r="B69" i="1"/>
  <c r="D72" i="1"/>
  <c r="D73" i="1"/>
  <c r="B12" i="2"/>
  <c r="B14" i="2"/>
  <c r="D17" i="2"/>
  <c r="F16" i="2"/>
  <c r="F17" i="2"/>
  <c r="G16" i="2"/>
  <c r="G17" i="2"/>
  <c r="H16" i="2"/>
  <c r="H17" i="2"/>
  <c r="I16" i="2"/>
  <c r="I17" i="2"/>
  <c r="E17" i="2"/>
  <c r="D18" i="2"/>
  <c r="B17" i="2"/>
  <c r="B16" i="2"/>
  <c r="B13" i="2"/>
  <c r="B11" i="2"/>
  <c r="B10" i="2"/>
  <c r="B9" i="2"/>
  <c r="B18" i="2"/>
  <c r="B24" i="5"/>
  <c r="C25" i="5"/>
  <c r="C2" i="5"/>
  <c r="B4" i="5"/>
  <c r="C9" i="5"/>
  <c r="C23" i="5"/>
  <c r="C26" i="5"/>
  <c r="C24" i="5"/>
  <c r="D25" i="5"/>
  <c r="D23" i="5"/>
  <c r="D26" i="5"/>
  <c r="D24" i="5"/>
  <c r="E25" i="5"/>
  <c r="E23" i="5"/>
  <c r="E26" i="5"/>
  <c r="E24" i="5"/>
  <c r="F25" i="5"/>
  <c r="F23" i="5"/>
  <c r="F26" i="5"/>
  <c r="F24" i="5"/>
  <c r="G25" i="5"/>
  <c r="G23" i="5"/>
  <c r="G26" i="5"/>
  <c r="G24" i="5"/>
  <c r="H25" i="5"/>
  <c r="H23" i="5"/>
  <c r="H26" i="5"/>
  <c r="H24" i="5"/>
  <c r="I25" i="5"/>
  <c r="I23" i="5"/>
  <c r="I26" i="5"/>
  <c r="I24" i="5"/>
  <c r="J25" i="5"/>
  <c r="J23" i="5"/>
  <c r="J26" i="5"/>
  <c r="J24" i="5"/>
  <c r="K25" i="5"/>
  <c r="K23" i="5"/>
  <c r="K26" i="5"/>
  <c r="K24" i="5"/>
  <c r="L25" i="5"/>
  <c r="L23" i="5"/>
  <c r="L26" i="5"/>
  <c r="L24" i="5"/>
  <c r="M25" i="5"/>
  <c r="M23" i="5"/>
  <c r="M26" i="5"/>
  <c r="M24" i="5"/>
  <c r="N25" i="5"/>
  <c r="N23" i="5"/>
  <c r="N26" i="5"/>
  <c r="N24" i="5"/>
  <c r="C31" i="5"/>
  <c r="C29" i="5"/>
  <c r="C32" i="5"/>
  <c r="C30" i="5"/>
  <c r="D31" i="5"/>
  <c r="D29" i="5"/>
  <c r="D32" i="5"/>
  <c r="D30" i="5"/>
  <c r="E31" i="5"/>
  <c r="E29" i="5"/>
  <c r="E32" i="5"/>
  <c r="E30" i="5"/>
  <c r="F31" i="5"/>
  <c r="F29" i="5"/>
  <c r="F32" i="5"/>
  <c r="F30" i="5"/>
  <c r="G31" i="5"/>
  <c r="G29" i="5"/>
  <c r="G32" i="5"/>
  <c r="G30" i="5"/>
  <c r="H31" i="5"/>
  <c r="H29" i="5"/>
  <c r="H32" i="5"/>
  <c r="H30" i="5"/>
  <c r="I31" i="5"/>
  <c r="I29" i="5"/>
  <c r="I32" i="5"/>
  <c r="I30" i="5"/>
  <c r="J31" i="5"/>
  <c r="J29" i="5"/>
  <c r="J32" i="5"/>
  <c r="J30" i="5"/>
  <c r="K31" i="5"/>
  <c r="K29" i="5"/>
  <c r="K32" i="5"/>
  <c r="K30" i="5"/>
  <c r="L31" i="5"/>
  <c r="L29" i="5"/>
  <c r="L32" i="5"/>
  <c r="L30" i="5"/>
  <c r="M31" i="5"/>
  <c r="M29" i="5"/>
  <c r="M32" i="5"/>
  <c r="M30" i="5"/>
  <c r="N31" i="5"/>
  <c r="K6" i="5"/>
  <c r="K5" i="5"/>
  <c r="N29" i="5"/>
  <c r="N32" i="5"/>
  <c r="N30" i="5"/>
  <c r="C10" i="5"/>
  <c r="C4" i="5"/>
  <c r="B79" i="1"/>
  <c r="B77" i="1"/>
  <c r="B76" i="1"/>
  <c r="B72" i="1"/>
  <c r="C72" i="1"/>
  <c r="C71" i="1"/>
  <c r="C73" i="1"/>
  <c r="B71" i="1"/>
  <c r="B73" i="1"/>
  <c r="C68" i="1"/>
  <c r="B68" i="1"/>
  <c r="C64" i="1"/>
  <c r="B64" i="1"/>
  <c r="B66" i="1"/>
  <c r="C66" i="1"/>
  <c r="C65" i="1"/>
  <c r="B65" i="1"/>
  <c r="A52" i="1"/>
  <c r="A53" i="1"/>
  <c r="A45" i="1"/>
  <c r="A49" i="1"/>
  <c r="D52" i="1"/>
  <c r="F51" i="1"/>
  <c r="G51" i="1"/>
  <c r="H51" i="1"/>
  <c r="I51" i="1"/>
  <c r="E51" i="1"/>
  <c r="E52" i="1"/>
  <c r="A54" i="1"/>
  <c r="B33" i="1"/>
  <c r="C33" i="1"/>
  <c r="D33" i="1"/>
  <c r="E33" i="1"/>
  <c r="F33" i="1"/>
  <c r="A33" i="1"/>
  <c r="A31" i="1"/>
  <c r="C31" i="1"/>
  <c r="D31" i="1"/>
  <c r="I47" i="1"/>
  <c r="H47" i="1"/>
  <c r="G47" i="1"/>
  <c r="F47" i="1"/>
  <c r="E47" i="1"/>
  <c r="H21" i="3"/>
  <c r="H20" i="3"/>
  <c r="H19" i="3"/>
  <c r="H18" i="3"/>
  <c r="E21" i="3"/>
  <c r="E20" i="3"/>
  <c r="E19" i="3"/>
  <c r="E18" i="3"/>
  <c r="B21" i="3"/>
  <c r="B20" i="3"/>
  <c r="B19" i="3"/>
  <c r="B18" i="3"/>
  <c r="E11" i="4"/>
  <c r="F11" i="4"/>
  <c r="C16" i="4"/>
  <c r="D17" i="4"/>
  <c r="C9" i="4"/>
  <c r="C3" i="4"/>
  <c r="B3" i="4"/>
  <c r="C8" i="4"/>
  <c r="E15" i="4"/>
  <c r="E12" i="4"/>
  <c r="F12" i="4"/>
  <c r="D15" i="4"/>
  <c r="D18" i="4"/>
  <c r="D16" i="4"/>
  <c r="D12" i="4"/>
  <c r="F15" i="4"/>
  <c r="D32" i="3"/>
  <c r="D33" i="3"/>
  <c r="F32" i="3"/>
  <c r="F33" i="3"/>
  <c r="E32" i="3"/>
  <c r="E33" i="3"/>
  <c r="B33" i="3"/>
  <c r="B31" i="3"/>
  <c r="F30" i="3"/>
  <c r="F31" i="3"/>
  <c r="E30" i="3"/>
  <c r="E31" i="3"/>
  <c r="D30" i="3"/>
  <c r="D31" i="3"/>
  <c r="D29" i="3"/>
  <c r="B29" i="3"/>
  <c r="G28" i="3"/>
  <c r="G29" i="3"/>
  <c r="F28" i="3"/>
  <c r="F29" i="3"/>
  <c r="E28" i="3"/>
  <c r="E29" i="3"/>
  <c r="B27" i="3"/>
  <c r="G26" i="3"/>
  <c r="G27" i="3"/>
  <c r="F26" i="3"/>
  <c r="F27" i="3"/>
  <c r="E26" i="3"/>
  <c r="E27" i="3"/>
  <c r="H15" i="3"/>
  <c r="F14" i="3"/>
  <c r="F15" i="3"/>
  <c r="E14" i="3"/>
  <c r="E15" i="3"/>
  <c r="D14" i="3"/>
  <c r="D15" i="3"/>
  <c r="B15" i="3"/>
  <c r="I21" i="3"/>
  <c r="F12" i="3"/>
  <c r="F13" i="3"/>
  <c r="E12" i="3"/>
  <c r="E13" i="3"/>
  <c r="D12" i="3"/>
  <c r="D13" i="3"/>
  <c r="B13" i="3"/>
  <c r="I20" i="3"/>
  <c r="B11" i="3"/>
  <c r="I19" i="3"/>
  <c r="H10" i="3"/>
  <c r="H11" i="3"/>
  <c r="G10" i="3"/>
  <c r="G11" i="3"/>
  <c r="F10" i="3"/>
  <c r="F11" i="3"/>
  <c r="E10" i="3"/>
  <c r="E11" i="3"/>
  <c r="B9" i="3"/>
  <c r="I18" i="3"/>
  <c r="G8" i="3"/>
  <c r="G9" i="3"/>
  <c r="F8" i="3"/>
  <c r="F9" i="3"/>
  <c r="E8" i="3"/>
  <c r="E9" i="3"/>
  <c r="C33" i="3"/>
  <c r="C27" i="3"/>
  <c r="C19" i="3"/>
  <c r="F19" i="3"/>
  <c r="C31" i="3"/>
  <c r="C21" i="3"/>
  <c r="F21" i="3"/>
  <c r="C29" i="3"/>
  <c r="C20" i="3"/>
  <c r="F20" i="3"/>
  <c r="C18" i="3"/>
  <c r="F18" i="3"/>
  <c r="C13" i="3"/>
  <c r="C15" i="3"/>
  <c r="E17" i="4"/>
  <c r="E18" i="4"/>
  <c r="E16" i="4"/>
  <c r="C12" i="4"/>
  <c r="C11" i="3"/>
  <c r="C9" i="3"/>
  <c r="C12" i="1"/>
  <c r="D12" i="1"/>
  <c r="E12" i="1"/>
  <c r="F12" i="1"/>
  <c r="F11" i="1"/>
  <c r="E11" i="1"/>
  <c r="D11" i="1"/>
  <c r="B11" i="1"/>
  <c r="A12" i="1"/>
  <c r="A11" i="1"/>
  <c r="A20" i="1"/>
  <c r="A19" i="1"/>
  <c r="E24" i="1"/>
  <c r="E2" i="1"/>
  <c r="F17" i="4"/>
  <c r="F18" i="4"/>
  <c r="F16" i="4"/>
  <c r="B12" i="1"/>
  <c r="G40" i="1"/>
  <c r="A40" i="1"/>
  <c r="A41" i="1"/>
  <c r="A39" i="1"/>
  <c r="A38" i="1"/>
  <c r="E22" i="1"/>
  <c r="I22" i="1"/>
  <c r="I23" i="1"/>
  <c r="G22" i="1"/>
  <c r="G23" i="1"/>
  <c r="H22" i="1"/>
  <c r="H23" i="1"/>
  <c r="B31" i="1"/>
  <c r="E31" i="1"/>
  <c r="F31" i="1"/>
  <c r="A32" i="1"/>
  <c r="A28" i="1"/>
  <c r="A27" i="1"/>
  <c r="A23" i="1"/>
  <c r="A24" i="1"/>
  <c r="A16" i="1"/>
  <c r="A15" i="1"/>
  <c r="F8" i="1"/>
  <c r="E8" i="1"/>
  <c r="D8" i="1"/>
  <c r="C8" i="1"/>
  <c r="E7" i="1"/>
  <c r="D7" i="1"/>
  <c r="C7" i="1"/>
  <c r="A7" i="1"/>
  <c r="A8" i="1"/>
  <c r="A6" i="1"/>
  <c r="A5" i="1"/>
  <c r="D2" i="1"/>
  <c r="E6" i="1"/>
  <c r="D6" i="1"/>
  <c r="C6" i="1"/>
  <c r="C5" i="1"/>
  <c r="D5" i="1"/>
  <c r="E5" i="1"/>
  <c r="F6" i="1"/>
  <c r="B5" i="1"/>
  <c r="B8" i="1"/>
  <c r="F23" i="1"/>
  <c r="B7" i="1"/>
  <c r="B6" i="1"/>
</calcChain>
</file>

<file path=xl/sharedStrings.xml><?xml version="1.0" encoding="utf-8"?>
<sst xmlns="http://schemas.openxmlformats.org/spreadsheetml/2006/main" count="183" uniqueCount="89">
  <si>
    <t>割引率</t>
    <rPh sb="0" eb="2">
      <t>ワリビキ</t>
    </rPh>
    <rPh sb="2" eb="3">
      <t>リツ</t>
    </rPh>
    <phoneticPr fontId="1"/>
  </si>
  <si>
    <t>期間</t>
    <rPh sb="0" eb="2">
      <t>キカン</t>
    </rPh>
    <phoneticPr fontId="1"/>
  </si>
  <si>
    <t>年金現価率</t>
    <rPh sb="0" eb="2">
      <t>ネンキン</t>
    </rPh>
    <rPh sb="2" eb="4">
      <t>ゲンカ</t>
    </rPh>
    <rPh sb="4" eb="5">
      <t>リツ</t>
    </rPh>
    <phoneticPr fontId="1"/>
  </si>
  <si>
    <t>CF</t>
    <phoneticPr fontId="1"/>
  </si>
  <si>
    <t>PV関数</t>
    <rPh sb="2" eb="4">
      <t>カンスウ</t>
    </rPh>
    <phoneticPr fontId="1"/>
  </si>
  <si>
    <t>RATE関数</t>
    <rPh sb="4" eb="6">
      <t>カンスウ</t>
    </rPh>
    <phoneticPr fontId="1"/>
  </si>
  <si>
    <t>PMT関数</t>
    <rPh sb="3" eb="5">
      <t>カンスウ</t>
    </rPh>
    <phoneticPr fontId="1"/>
  </si>
  <si>
    <t>NPV関数</t>
    <rPh sb="3" eb="5">
      <t>カンスウ</t>
    </rPh>
    <phoneticPr fontId="1"/>
  </si>
  <si>
    <t>EFFECT関数とNOMINAL関数</t>
    <rPh sb="6" eb="8">
      <t>カンスウ</t>
    </rPh>
    <rPh sb="16" eb="18">
      <t>カンスウ</t>
    </rPh>
    <phoneticPr fontId="1"/>
  </si>
  <si>
    <t>IRR関数</t>
    <rPh sb="3" eb="5">
      <t>カンスウ</t>
    </rPh>
    <phoneticPr fontId="1"/>
  </si>
  <si>
    <t>NPER関数</t>
    <rPh sb="4" eb="6">
      <t>カンスウ</t>
    </rPh>
    <phoneticPr fontId="1"/>
  </si>
  <si>
    <t>FV関数</t>
    <rPh sb="2" eb="4">
      <t>カンスウ</t>
    </rPh>
    <phoneticPr fontId="1"/>
  </si>
  <si>
    <t>CF</t>
    <phoneticPr fontId="1"/>
  </si>
  <si>
    <t>割引率</t>
    <rPh sb="0" eb="3">
      <t>ワリビキリツ</t>
    </rPh>
    <phoneticPr fontId="1"/>
  </si>
  <si>
    <t>今</t>
    <rPh sb="0" eb="1">
      <t>イマ</t>
    </rPh>
    <phoneticPr fontId="1"/>
  </si>
  <si>
    <t>1年後</t>
    <rPh sb="1" eb="3">
      <t>ネンゴ</t>
    </rPh>
    <phoneticPr fontId="1"/>
  </si>
  <si>
    <t>2年後</t>
    <rPh sb="1" eb="3">
      <t>ネンゴ</t>
    </rPh>
    <phoneticPr fontId="1"/>
  </si>
  <si>
    <t>3年後</t>
    <rPh sb="1" eb="3">
      <t>ネンゴ</t>
    </rPh>
    <phoneticPr fontId="1"/>
  </si>
  <si>
    <t>毎期定額CF</t>
    <rPh sb="0" eb="2">
      <t>マイキ</t>
    </rPh>
    <rPh sb="2" eb="4">
      <t>テイガク</t>
    </rPh>
    <phoneticPr fontId="1"/>
  </si>
  <si>
    <t>満期元本CF</t>
    <rPh sb="0" eb="2">
      <t>マンキ</t>
    </rPh>
    <rPh sb="2" eb="4">
      <t>ガンポン</t>
    </rPh>
    <phoneticPr fontId="1"/>
  </si>
  <si>
    <t>満期元本</t>
    <rPh sb="0" eb="2">
      <t>マンキ</t>
    </rPh>
    <rPh sb="2" eb="4">
      <t>ガンポン</t>
    </rPh>
    <phoneticPr fontId="1"/>
  </si>
  <si>
    <t>←CF</t>
    <phoneticPr fontId="1"/>
  </si>
  <si>
    <t>←CF現在価値</t>
    <rPh sb="3" eb="5">
      <t>ゲンザイ</t>
    </rPh>
    <rPh sb="5" eb="7">
      <t>カチ</t>
    </rPh>
    <phoneticPr fontId="1"/>
  </si>
  <si>
    <t>Case1</t>
    <phoneticPr fontId="1"/>
  </si>
  <si>
    <t>Case2</t>
    <phoneticPr fontId="1"/>
  </si>
  <si>
    <t>Case3</t>
    <phoneticPr fontId="1"/>
  </si>
  <si>
    <t>現在価値合計</t>
    <rPh sb="0" eb="2">
      <t>ゲンザイ</t>
    </rPh>
    <rPh sb="2" eb="4">
      <t>カチ</t>
    </rPh>
    <rPh sb="4" eb="6">
      <t>ゴウケイ</t>
    </rPh>
    <phoneticPr fontId="1"/>
  </si>
  <si>
    <t>Case4</t>
    <phoneticPr fontId="1"/>
  </si>
  <si>
    <t>将来価値合計</t>
    <rPh sb="0" eb="2">
      <t>ショウライ</t>
    </rPh>
    <rPh sb="2" eb="4">
      <t>カチ</t>
    </rPh>
    <rPh sb="4" eb="6">
      <t>ゴウケイ</t>
    </rPh>
    <phoneticPr fontId="1"/>
  </si>
  <si>
    <t>←CF将来価値</t>
    <rPh sb="3" eb="5">
      <t>ショウライ</t>
    </rPh>
    <rPh sb="5" eb="7">
      <t>カチ</t>
    </rPh>
    <phoneticPr fontId="1"/>
  </si>
  <si>
    <t>割引率</t>
  </si>
  <si>
    <t>期間</t>
  </si>
  <si>
    <t>年金現価率</t>
  </si>
  <si>
    <t>(1)年金現価率から</t>
    <rPh sb="3" eb="5">
      <t>ネンキン</t>
    </rPh>
    <rPh sb="5" eb="8">
      <t>ゲンカリツ</t>
    </rPh>
    <phoneticPr fontId="1"/>
  </si>
  <si>
    <t>今のお金</t>
    <rPh sb="0" eb="1">
      <t>イマ</t>
    </rPh>
    <rPh sb="3" eb="4">
      <t>カネ</t>
    </rPh>
    <phoneticPr fontId="1"/>
  </si>
  <si>
    <t>支払額</t>
    <rPh sb="0" eb="3">
      <t>シハライガク</t>
    </rPh>
    <phoneticPr fontId="1"/>
  </si>
  <si>
    <t>利子</t>
    <rPh sb="0" eb="2">
      <t>リシ</t>
    </rPh>
    <phoneticPr fontId="1"/>
  </si>
  <si>
    <t>元本返済</t>
    <rPh sb="0" eb="2">
      <t>ガンポン</t>
    </rPh>
    <rPh sb="2" eb="4">
      <t>ヘンサイ</t>
    </rPh>
    <phoneticPr fontId="1"/>
  </si>
  <si>
    <t>残存元本</t>
    <rPh sb="0" eb="2">
      <t>ザンゾン</t>
    </rPh>
    <rPh sb="2" eb="4">
      <t>ガンポン</t>
    </rPh>
    <phoneticPr fontId="1"/>
  </si>
  <si>
    <t>★今，1000万円の借入→利子3％で3年間の均等返済額？</t>
    <rPh sb="1" eb="2">
      <t>イマ</t>
    </rPh>
    <rPh sb="7" eb="9">
      <t>マンエン</t>
    </rPh>
    <rPh sb="10" eb="12">
      <t>カリイレ</t>
    </rPh>
    <rPh sb="13" eb="15">
      <t>リシ</t>
    </rPh>
    <rPh sb="19" eb="21">
      <t>ネンカン</t>
    </rPh>
    <rPh sb="22" eb="24">
      <t>キントウ</t>
    </rPh>
    <rPh sb="24" eb="27">
      <t>ヘンサイガク</t>
    </rPh>
    <phoneticPr fontId="1"/>
  </si>
  <si>
    <t>★毎年の支払額？…3つの計算方法</t>
    <rPh sb="1" eb="3">
      <t>マイトシ</t>
    </rPh>
    <rPh sb="4" eb="7">
      <t>シハライガク</t>
    </rPh>
    <rPh sb="12" eb="14">
      <t>ケイサン</t>
    </rPh>
    <rPh sb="14" eb="16">
      <t>ホウホウ</t>
    </rPh>
    <phoneticPr fontId="1"/>
  </si>
  <si>
    <t>←借金返済</t>
    <rPh sb="1" eb="3">
      <t>シャッキン</t>
    </rPh>
    <rPh sb="3" eb="5">
      <t>ヘンサイ</t>
    </rPh>
    <phoneticPr fontId="1"/>
  </si>
  <si>
    <t>(2)PMT関数を使うと</t>
    <rPh sb="6" eb="8">
      <t>カンスウ</t>
    </rPh>
    <rPh sb="9" eb="10">
      <t>ツカ</t>
    </rPh>
    <phoneticPr fontId="1"/>
  </si>
  <si>
    <t>(3)CFから確認</t>
    <rPh sb="7" eb="9">
      <t>カクニン</t>
    </rPh>
    <phoneticPr fontId="1"/>
  </si>
  <si>
    <t>ソルバーで解く→→→</t>
    <rPh sb="5" eb="6">
      <t>ト</t>
    </rPh>
    <phoneticPr fontId="1"/>
  </si>
  <si>
    <t>★この毎年の支払額は何を意味しているか？→利子3％の支払と元本返済完了を確認</t>
    <rPh sb="3" eb="5">
      <t>マイトシ</t>
    </rPh>
    <rPh sb="6" eb="8">
      <t>シハライ</t>
    </rPh>
    <rPh sb="8" eb="9">
      <t>ガク</t>
    </rPh>
    <rPh sb="10" eb="11">
      <t>ナニ</t>
    </rPh>
    <rPh sb="12" eb="14">
      <t>イミ</t>
    </rPh>
    <rPh sb="21" eb="23">
      <t>リシ</t>
    </rPh>
    <rPh sb="26" eb="28">
      <t>シハライ</t>
    </rPh>
    <rPh sb="29" eb="31">
      <t>ガンポン</t>
    </rPh>
    <rPh sb="31" eb="33">
      <t>ヘンサイ</t>
    </rPh>
    <rPh sb="33" eb="35">
      <t>カンリョウ</t>
    </rPh>
    <rPh sb="36" eb="38">
      <t>カクニン</t>
    </rPh>
    <phoneticPr fontId="1"/>
  </si>
  <si>
    <t>PMT関数</t>
    <rPh sb="3" eb="5">
      <t>カンスウ</t>
    </rPh>
    <phoneticPr fontId="1"/>
  </si>
  <si>
    <t>NPER関数</t>
    <rPh sb="4" eb="6">
      <t>カンスウ</t>
    </rPh>
    <phoneticPr fontId="1"/>
  </si>
  <si>
    <t>★現在価値に関する関数：PV関数，RATE関数，PMT関数，NPER関数</t>
    <rPh sb="1" eb="3">
      <t>ゲンザイ</t>
    </rPh>
    <rPh sb="3" eb="5">
      <t>カチ</t>
    </rPh>
    <rPh sb="6" eb="7">
      <t>カン</t>
    </rPh>
    <rPh sb="9" eb="11">
      <t>カンスウ</t>
    </rPh>
    <rPh sb="14" eb="16">
      <t>カンスウ</t>
    </rPh>
    <rPh sb="21" eb="23">
      <t>カンスウ</t>
    </rPh>
    <rPh sb="27" eb="29">
      <t>カンスウ</t>
    </rPh>
    <rPh sb="34" eb="36">
      <t>カンスウ</t>
    </rPh>
    <phoneticPr fontId="1"/>
  </si>
  <si>
    <t>★将来価値の関数：FV関数</t>
    <rPh sb="1" eb="3">
      <t>ショウライ</t>
    </rPh>
    <rPh sb="3" eb="5">
      <t>カチ</t>
    </rPh>
    <rPh sb="6" eb="8">
      <t>カンスウ</t>
    </rPh>
    <rPh sb="11" eb="13">
      <t>カンスウ</t>
    </rPh>
    <phoneticPr fontId="1"/>
  </si>
  <si>
    <t>PRICE関数</t>
    <rPh sb="5" eb="7">
      <t>カンスウ</t>
    </rPh>
    <phoneticPr fontId="1"/>
  </si>
  <si>
    <t>受渡日</t>
    <rPh sb="0" eb="3">
      <t>ウケワタシビ</t>
    </rPh>
    <phoneticPr fontId="1"/>
  </si>
  <si>
    <t>満期日</t>
    <rPh sb="0" eb="3">
      <t>マンキビ</t>
    </rPh>
    <phoneticPr fontId="1"/>
  </si>
  <si>
    <t>表面利率</t>
    <rPh sb="0" eb="2">
      <t>ヒョウメン</t>
    </rPh>
    <rPh sb="2" eb="4">
      <t>リリツ</t>
    </rPh>
    <phoneticPr fontId="1"/>
  </si>
  <si>
    <t>額面</t>
    <rPh sb="0" eb="2">
      <t>ガクメン</t>
    </rPh>
    <phoneticPr fontId="1"/>
  </si>
  <si>
    <t>COUPPCD</t>
    <phoneticPr fontId="1"/>
  </si>
  <si>
    <t>COUPNCD</t>
    <phoneticPr fontId="1"/>
  </si>
  <si>
    <t>COUPNUM</t>
    <phoneticPr fontId="1"/>
  </si>
  <si>
    <t>COUPDAYBS</t>
    <phoneticPr fontId="1"/>
  </si>
  <si>
    <t>日本式</t>
    <rPh sb="0" eb="3">
      <t>ニホンシキ</t>
    </rPh>
    <phoneticPr fontId="1"/>
  </si>
  <si>
    <t>米国式</t>
    <rPh sb="0" eb="2">
      <t>ベイコク</t>
    </rPh>
    <rPh sb="2" eb="3">
      <t>シキ</t>
    </rPh>
    <phoneticPr fontId="1"/>
  </si>
  <si>
    <t>COUPDAYSNC</t>
    <phoneticPr fontId="1"/>
  </si>
  <si>
    <t>COUPDAYS</t>
    <phoneticPr fontId="1"/>
  </si>
  <si>
    <t>割引率</t>
    <rPh sb="0" eb="3">
      <t>ワリビキリツ</t>
    </rPh>
    <phoneticPr fontId="1"/>
  </si>
  <si>
    <t>PRICE</t>
    <phoneticPr fontId="1"/>
  </si>
  <si>
    <t>経過利息</t>
    <rPh sb="0" eb="2">
      <t>ケイカ</t>
    </rPh>
    <rPh sb="2" eb="4">
      <t>リソク</t>
    </rPh>
    <phoneticPr fontId="1"/>
  </si>
  <si>
    <t>受渡価格</t>
    <rPh sb="0" eb="2">
      <t>ウケワタシ</t>
    </rPh>
    <rPh sb="2" eb="4">
      <t>カカク</t>
    </rPh>
    <phoneticPr fontId="1"/>
  </si>
  <si>
    <t>回数(年間)</t>
    <rPh sb="0" eb="2">
      <t>カイスウ</t>
    </rPh>
    <rPh sb="3" eb="5">
      <t>ネンカン</t>
    </rPh>
    <phoneticPr fontId="1"/>
  </si>
  <si>
    <t>割引率</t>
    <phoneticPr fontId="1"/>
  </si>
  <si>
    <t>1年目利子支払額</t>
    <rPh sb="1" eb="3">
      <t>ネンメ</t>
    </rPh>
    <rPh sb="3" eb="5">
      <t>リシ</t>
    </rPh>
    <rPh sb="5" eb="8">
      <t>シハライガク</t>
    </rPh>
    <phoneticPr fontId="1"/>
  </si>
  <si>
    <t>2年目利子支払額</t>
    <rPh sb="1" eb="3">
      <t>ネンメ</t>
    </rPh>
    <rPh sb="3" eb="5">
      <t>リシ</t>
    </rPh>
    <rPh sb="5" eb="8">
      <t>シハライガク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</si>
  <si>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</si>
  <si>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</si>
  <si>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何回目</t>
    <rPh sb="0" eb="3">
      <t>ナンカイメ</t>
    </rPh>
    <phoneticPr fontId="1"/>
  </si>
  <si>
    <t>CF</t>
    <phoneticPr fontId="1"/>
  </si>
  <si>
    <t>★債券価格：半年毎のクーポン支払</t>
    <rPh sb="1" eb="3">
      <t>サイケン</t>
    </rPh>
    <rPh sb="3" eb="5">
      <t>カカク</t>
    </rPh>
    <rPh sb="6" eb="8">
      <t>ハントシ</t>
    </rPh>
    <rPh sb="8" eb="9">
      <t>ゴト</t>
    </rPh>
    <rPh sb="14" eb="16">
      <t>シハラ</t>
    </rPh>
    <phoneticPr fontId="1"/>
  </si>
  <si>
    <t>←今</t>
    <rPh sb="1" eb="2">
      <t>イマ</t>
    </rPh>
    <phoneticPr fontId="1"/>
  </si>
  <si>
    <t>実数日ベース(日本式？)</t>
    <rPh sb="0" eb="2">
      <t>ジッスウ</t>
    </rPh>
    <rPh sb="2" eb="3">
      <t>ビ</t>
    </rPh>
    <rPh sb="7" eb="10">
      <t>ニホンシキ</t>
    </rPh>
    <phoneticPr fontId="1"/>
  </si>
  <si>
    <t>CFから現在価値を求めて確認</t>
    <rPh sb="4" eb="6">
      <t>ゲンザイ</t>
    </rPh>
    <rPh sb="6" eb="8">
      <t>カチ</t>
    </rPh>
    <rPh sb="9" eb="10">
      <t>モト</t>
    </rPh>
    <rPh sb="12" eb="14">
      <t>カクニン</t>
    </rPh>
    <phoneticPr fontId="1"/>
  </si>
  <si>
    <t>←手計算での受渡価格</t>
    <rPh sb="1" eb="2">
      <t>テ</t>
    </rPh>
    <rPh sb="2" eb="4">
      <t>ケイサン</t>
    </rPh>
    <rPh sb="6" eb="8">
      <t>ウケワタシ</t>
    </rPh>
    <rPh sb="8" eb="10">
      <t>カカク</t>
    </rPh>
    <phoneticPr fontId="1"/>
  </si>
  <si>
    <t>期ズレ調整↓</t>
    <rPh sb="0" eb="1">
      <t>キ</t>
    </rPh>
    <rPh sb="3" eb="5">
      <t>チョウセイ</t>
    </rPh>
    <phoneticPr fontId="1"/>
  </si>
  <si>
    <t>経過日数割合</t>
    <rPh sb="0" eb="2">
      <t>ケイカ</t>
    </rPh>
    <rPh sb="2" eb="4">
      <t>ニッスウ</t>
    </rPh>
    <rPh sb="4" eb="6">
      <t>ワリアイ</t>
    </rPh>
    <phoneticPr fontId="1"/>
  </si>
  <si>
    <t>←年</t>
    <rPh sb="1" eb="2">
      <t>ネン</t>
    </rPh>
    <phoneticPr fontId="1"/>
  </si>
  <si>
    <t>←月</t>
    <rPh sb="1" eb="2">
      <t>ツキ</t>
    </rPh>
    <phoneticPr fontId="1"/>
  </si>
  <si>
    <t>(3)CFから確認</t>
    <rPh sb="7" eb="9">
      <t>カクニン</t>
    </rPh>
    <phoneticPr fontId="1"/>
  </si>
  <si>
    <t>今</t>
    <rPh sb="0" eb="1">
      <t>イマ</t>
    </rPh>
    <phoneticPr fontId="1"/>
  </si>
  <si>
    <t>★今，1000万円の借入→利子3％で2年間の均等返済額？</t>
    <rPh sb="1" eb="2">
      <t>イマ</t>
    </rPh>
    <rPh sb="7" eb="9">
      <t>マンエン</t>
    </rPh>
    <rPh sb="10" eb="12">
      <t>カリイレ</t>
    </rPh>
    <rPh sb="13" eb="15">
      <t>リシ</t>
    </rPh>
    <rPh sb="19" eb="21">
      <t>ネンカン</t>
    </rPh>
    <rPh sb="22" eb="24">
      <t>キントウ</t>
    </rPh>
    <rPh sb="24" eb="27">
      <t>ヘンサイガク</t>
    </rPh>
    <phoneticPr fontId="1"/>
  </si>
  <si>
    <t>←完済</t>
    <rPh sb="1" eb="3">
      <t>カンサイ</t>
    </rPh>
    <phoneticPr fontId="1"/>
  </si>
  <si>
    <t>解析解↓</t>
    <rPh sb="0" eb="2">
      <t>カイセキ</t>
    </rPh>
    <rPh sb="2" eb="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</si>
</sst>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8" formatCode="&quot;¥&quot;#,##0.00;[Red]&quot;¥&quot;\-#,##0.00"/>
    <numFmt numFmtId="176" formatCode="0.00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6" fontId="0" fillId="0" borderId="0" xfId="0" applyNumberFormat="1">
      <alignment vertical="center"/>
    </xf>
    <xf numFmtId="8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5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right"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right"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right" vertical="center"/>
    </xf>
    <xf numFmtId="0" fontId="0" fillId="6" borderId="0" xfId="0" applyFill="1">
      <alignment vertical="center"/>
    </xf>
    <xf numFmtId="0" fontId="0" fillId="6" borderId="0" xfId="0" applyFill="1" applyAlignment="1">
      <alignment horizontal="right"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zoomScale="111" zoomScaleNormal="111" zoomScalePageLayoutView="140" workbookViewId="0">
      <selection activeCell="A27" sqref="A27"/>
    </sheetView>
  </sheetViews>
  <sheetFormatPr defaultColWidth="8.69921875" defaultRowHeight="18.8" x14ac:dyDescent="0.45"/>
  <cols>
    <col min="1" max="1" width="12.8984375" customWidth="1"/>
    <col min="2" max="2" width="11.5" customWidth="1"/>
    <col min="3" max="3" width="11.3984375" customWidth="1"/>
    <col min="4" max="4" width="11.19921875" customWidth="1"/>
    <col min="5" max="5" width="11.09765625" customWidth="1"/>
    <col min="6" max="6" width="15.3984375" bestFit="1" customWidth="1"/>
    <col min="7" max="7" width="14.09765625" bestFit="1" customWidth="1"/>
    <col min="8" max="8" width="14.59765625" customWidth="1"/>
    <col min="9" max="10" width="14" customWidth="1"/>
  </cols>
  <sheetData>
    <row r="1" spans="1:6" x14ac:dyDescent="0.45">
      <c r="A1" t="s">
        <v>0</v>
      </c>
      <c r="B1">
        <v>0.1</v>
      </c>
      <c r="E1">
        <v>1</v>
      </c>
    </row>
    <row r="2" spans="1:6" x14ac:dyDescent="0.45">
      <c r="A2" t="s">
        <v>1</v>
      </c>
      <c r="B2">
        <v>3</v>
      </c>
      <c r="C2" t="s">
        <v>2</v>
      </c>
      <c r="D2">
        <f>1/$B$1*(1-1/(1+$B$1)^$B$2)</f>
        <v>2.4868519909842246</v>
      </c>
      <c r="E2">
        <f>PV($B$1,$B$2,1)</f>
        <v>-2.4868519909842246</v>
      </c>
    </row>
    <row r="4" spans="1:6" x14ac:dyDescent="0.45">
      <c r="A4" t="s">
        <v>4</v>
      </c>
      <c r="B4" t="s">
        <v>3</v>
      </c>
      <c r="C4">
        <v>10</v>
      </c>
      <c r="D4">
        <v>10</v>
      </c>
      <c r="E4">
        <v>10</v>
      </c>
      <c r="F4">
        <v>90</v>
      </c>
    </row>
    <row r="5" spans="1:6" x14ac:dyDescent="0.45">
      <c r="A5">
        <f>PV($B$1,$B$2,$C$4,0)</f>
        <v>-24.868519909842245</v>
      </c>
      <c r="B5">
        <f>SUM(C5:E5)</f>
        <v>24.86851990984222</v>
      </c>
      <c r="C5">
        <f>$C$4/(1+$B$1)</f>
        <v>9.0909090909090899</v>
      </c>
      <c r="D5">
        <f>$D$4/(1+$B$1)^2</f>
        <v>8.2644628099173545</v>
      </c>
      <c r="E5">
        <f>$E$4/(1+$B$1)^3</f>
        <v>7.513148009015775</v>
      </c>
    </row>
    <row r="6" spans="1:6" x14ac:dyDescent="0.45">
      <c r="A6">
        <f>PV($B$1,$B$2,$C$4,$F$4)</f>
        <v>-92.486851990984221</v>
      </c>
      <c r="B6">
        <f>SUM(C6:F6)</f>
        <v>92.486851990984192</v>
      </c>
      <c r="C6">
        <f>$C$4/(1+$B$1)</f>
        <v>9.0909090909090899</v>
      </c>
      <c r="D6">
        <f>$D$4/(1+$B$1)^2</f>
        <v>8.2644628099173545</v>
      </c>
      <c r="E6">
        <f>$E$4/(1+$B$1)^3</f>
        <v>7.513148009015775</v>
      </c>
      <c r="F6">
        <f>$F$4/(1+$B$1)^3</f>
        <v>67.618332081141972</v>
      </c>
    </row>
    <row r="7" spans="1:6" x14ac:dyDescent="0.45">
      <c r="A7">
        <f>PV($B$1,$B$2,$C$4,0,1)</f>
        <v>-27.355371900826473</v>
      </c>
      <c r="B7">
        <f>SUM(C7:E7)</f>
        <v>27.355371900826444</v>
      </c>
      <c r="C7">
        <f>$C$4/(1+$B$1)^0</f>
        <v>10</v>
      </c>
      <c r="D7">
        <f>$D$4/(1+$B$1)^1</f>
        <v>9.0909090909090899</v>
      </c>
      <c r="E7">
        <f>$E$4/(1+$B$1)^2</f>
        <v>8.2644628099173545</v>
      </c>
    </row>
    <row r="8" spans="1:6" x14ac:dyDescent="0.45">
      <c r="A8">
        <f>PV($B$1,$B$2,$C$4,$F$4,1)</f>
        <v>-94.973703981968455</v>
      </c>
      <c r="B8">
        <f>SUM(C8:F8)</f>
        <v>94.973703981968413</v>
      </c>
      <c r="C8">
        <f>$C$4/(1+$B$1)^0</f>
        <v>10</v>
      </c>
      <c r="D8">
        <f>$D$4/(1+$B$1)^1</f>
        <v>9.0909090909090899</v>
      </c>
      <c r="E8">
        <f>$E$4/(1+$B$1)^2</f>
        <v>8.2644628099173545</v>
      </c>
      <c r="F8">
        <f>$F$4/(1+$B$1)^3</f>
        <v>67.618332081141972</v>
      </c>
    </row>
    <row r="10" spans="1:6" x14ac:dyDescent="0.45">
      <c r="A10" s="1" t="s">
        <v>11</v>
      </c>
      <c r="B10" t="s">
        <v>12</v>
      </c>
      <c r="C10">
        <v>20</v>
      </c>
      <c r="D10">
        <v>10</v>
      </c>
      <c r="E10">
        <v>10</v>
      </c>
      <c r="F10">
        <v>10</v>
      </c>
    </row>
    <row r="11" spans="1:6" x14ac:dyDescent="0.45">
      <c r="A11">
        <f>FV(0.1,3,10)</f>
        <v>-33.100000000000037</v>
      </c>
      <c r="B11">
        <f>SUM(D11:F11)</f>
        <v>33.1</v>
      </c>
      <c r="D11">
        <f>$D$10*(1+$B$1)^2</f>
        <v>12.100000000000001</v>
      </c>
      <c r="E11">
        <f>$E$10*(1+$B$1)</f>
        <v>11</v>
      </c>
      <c r="F11">
        <f>$F$10</f>
        <v>10</v>
      </c>
    </row>
    <row r="12" spans="1:6" x14ac:dyDescent="0.45">
      <c r="A12">
        <f>FV(0.1,3,10,20)</f>
        <v>-59.720000000000041</v>
      </c>
      <c r="B12">
        <f>SUM(C12:F12)</f>
        <v>59.720000000000013</v>
      </c>
      <c r="C12">
        <f>$C$10*(1+$B$1)^3</f>
        <v>26.620000000000008</v>
      </c>
      <c r="D12">
        <f>$D$10*(1+$B$1)^2</f>
        <v>12.100000000000001</v>
      </c>
      <c r="E12">
        <f>$E$10*(1+$B$1)</f>
        <v>11</v>
      </c>
      <c r="F12">
        <f>$F$10</f>
        <v>10</v>
      </c>
    </row>
    <row r="14" spans="1:6" x14ac:dyDescent="0.45">
      <c r="A14" t="s">
        <v>5</v>
      </c>
    </row>
    <row r="15" spans="1:6" x14ac:dyDescent="0.45">
      <c r="A15">
        <f>RATE(3,10,-24.868,0,0)</f>
        <v>0.10001187538658228</v>
      </c>
    </row>
    <row r="16" spans="1:6" x14ac:dyDescent="0.45">
      <c r="A16">
        <f>RATE(3,10,-92.486,90,0)</f>
        <v>0.10000373363360182</v>
      </c>
    </row>
    <row r="18" spans="1:9" x14ac:dyDescent="0.45">
      <c r="A18" t="s">
        <v>10</v>
      </c>
      <c r="C18" t="s">
        <v>88</v>
      </c>
    </row>
    <row r="19" spans="1:9" x14ac:dyDescent="0.45">
      <c r="A19">
        <f>NPER(0.1,10,-24.869)</f>
        <v>3.0000670444692163</v>
      </c>
      <c r="C19" s="22">
        <f>LN(1-B1*B5/C4)/LN(1/(1+B1))</f>
        <v>2.9999999999999991</v>
      </c>
    </row>
    <row r="20" spans="1:9" x14ac:dyDescent="0.45">
      <c r="A20">
        <f>NPER(0.1,10,-92.4869,90)</f>
        <v>3.0000670444692394</v>
      </c>
    </row>
    <row r="22" spans="1:9" x14ac:dyDescent="0.45">
      <c r="A22" t="s">
        <v>6</v>
      </c>
      <c r="E22" s="1">
        <f>PMT(0.05,3,-100000000,0,0)</f>
        <v>36720856.463124506</v>
      </c>
      <c r="G22" s="1">
        <f>$E$22</f>
        <v>36720856.463124506</v>
      </c>
      <c r="H22" s="1">
        <f>$E$22</f>
        <v>36720856.463124506</v>
      </c>
      <c r="I22" s="1">
        <f>$E$22</f>
        <v>36720856.463124506</v>
      </c>
    </row>
    <row r="23" spans="1:9" x14ac:dyDescent="0.45">
      <c r="A23">
        <f>PMT(0.1,3,-24.869,0,0)</f>
        <v>10.000193051359519</v>
      </c>
      <c r="F23" s="2">
        <f>SUM(G23:I23)</f>
        <v>99999999.999999985</v>
      </c>
      <c r="G23" s="2">
        <f>G22/1.05</f>
        <v>34972244.250594765</v>
      </c>
      <c r="H23" s="2">
        <f>H22/1.05^2</f>
        <v>33306899.286280729</v>
      </c>
      <c r="I23" s="2">
        <f>I22/1.05^3</f>
        <v>31720856.463124502</v>
      </c>
    </row>
    <row r="24" spans="1:9" x14ac:dyDescent="0.45">
      <c r="A24">
        <f>PMT(0.1,3,-92.487,90,0)</f>
        <v>10.000059516616313</v>
      </c>
      <c r="E24" s="1">
        <f>100000000/-PV(0.05,3,1)</f>
        <v>36720856.463124476</v>
      </c>
    </row>
    <row r="26" spans="1:9" x14ac:dyDescent="0.45">
      <c r="A26" t="s">
        <v>7</v>
      </c>
    </row>
    <row r="27" spans="1:9" x14ac:dyDescent="0.45">
      <c r="A27">
        <f>NPV(0.1,10,10,10)</f>
        <v>24.86851990984222</v>
      </c>
    </row>
    <row r="28" spans="1:9" x14ac:dyDescent="0.45">
      <c r="A28">
        <f>NPV(0.1,10,10,100)</f>
        <v>92.486851990984206</v>
      </c>
    </row>
    <row r="30" spans="1:9" x14ac:dyDescent="0.45">
      <c r="A30" t="s">
        <v>8</v>
      </c>
    </row>
    <row r="31" spans="1:9" x14ac:dyDescent="0.45">
      <c r="A31">
        <f>EFFECT(0.1,4)</f>
        <v>0.10381289062499977</v>
      </c>
      <c r="B31">
        <f>(1+0.1/4)^4-1</f>
        <v>0.10381289062499977</v>
      </c>
      <c r="C31">
        <f>1+0.1/4</f>
        <v>1.0249999999999999</v>
      </c>
      <c r="D31">
        <f>C31*(1+0.1/4)</f>
        <v>1.0506249999999999</v>
      </c>
      <c r="E31">
        <f>D31*(1+0.1/4)</f>
        <v>1.0768906249999999</v>
      </c>
      <c r="F31">
        <f>E31*(1+0.1/4)</f>
        <v>1.1038128906249998</v>
      </c>
    </row>
    <row r="32" spans="1:9" x14ac:dyDescent="0.45">
      <c r="A32">
        <f>NOMINAL($A$31,4)</f>
        <v>9.9999999999999645E-2</v>
      </c>
    </row>
    <row r="33" spans="1:9" x14ac:dyDescent="0.45">
      <c r="A33">
        <f>EFFECT(0.08,2)</f>
        <v>8.1600000000000117E-2</v>
      </c>
      <c r="B33">
        <f>(1+0.08/2)^2-1</f>
        <v>8.1600000000000117E-2</v>
      </c>
      <c r="C33">
        <f>1+0.08/2</f>
        <v>1.04</v>
      </c>
      <c r="D33">
        <f>C33*(1+0.08/2)</f>
        <v>1.0816000000000001</v>
      </c>
      <c r="E33">
        <f>D33*(1+0.08/2)</f>
        <v>1.1248640000000001</v>
      </c>
      <c r="F33">
        <f>E33*(1+0.08/2)</f>
        <v>1.1698585600000002</v>
      </c>
    </row>
    <row r="37" spans="1:9" x14ac:dyDescent="0.45">
      <c r="A37" t="s">
        <v>9</v>
      </c>
    </row>
    <row r="38" spans="1:9" x14ac:dyDescent="0.45">
      <c r="A38" s="3">
        <f>IRR(B38:E38)</f>
        <v>9.998903450613672E-2</v>
      </c>
      <c r="B38">
        <v>-24.869</v>
      </c>
      <c r="C38">
        <v>10</v>
      </c>
      <c r="D38">
        <v>10</v>
      </c>
      <c r="E38">
        <v>10</v>
      </c>
    </row>
    <row r="39" spans="1:9" x14ac:dyDescent="0.45">
      <c r="A39" s="3">
        <f>IRR(B39:E39)</f>
        <v>9.9999351393218916E-2</v>
      </c>
      <c r="B39">
        <v>-92.486999999999995</v>
      </c>
      <c r="C39">
        <v>10</v>
      </c>
      <c r="D39">
        <v>10</v>
      </c>
      <c r="E39">
        <v>100</v>
      </c>
    </row>
    <row r="40" spans="1:9" x14ac:dyDescent="0.45">
      <c r="A40" s="3">
        <f>IRR(B40:F40)</f>
        <v>0.10000273423210593</v>
      </c>
      <c r="B40">
        <v>-86.338999999999999</v>
      </c>
      <c r="C40">
        <v>10</v>
      </c>
      <c r="D40">
        <v>10</v>
      </c>
      <c r="E40">
        <v>10</v>
      </c>
      <c r="F40">
        <v>90</v>
      </c>
      <c r="G40">
        <f>NPV(0.1,10,10,10,90)</f>
        <v>86.339730892698554</v>
      </c>
    </row>
    <row r="41" spans="1:9" x14ac:dyDescent="0.45">
      <c r="A41" s="3">
        <f>IRR(B41:E41)</f>
        <v>0.20614015788510187</v>
      </c>
      <c r="B41">
        <v>-30</v>
      </c>
      <c r="C41">
        <v>10</v>
      </c>
      <c r="D41">
        <v>15</v>
      </c>
      <c r="E41">
        <v>20</v>
      </c>
    </row>
    <row r="44" spans="1:9" x14ac:dyDescent="0.45">
      <c r="A44" t="s">
        <v>50</v>
      </c>
    </row>
    <row r="45" spans="1:9" x14ac:dyDescent="0.45">
      <c r="A45">
        <f>PRICE(DATE(2014,3,31),DATE(2016,3,31),0.04,C45,100,2,1)</f>
        <v>100</v>
      </c>
      <c r="C45">
        <v>0.04</v>
      </c>
      <c r="F45">
        <v>1</v>
      </c>
      <c r="G45">
        <v>2</v>
      </c>
      <c r="H45">
        <v>3</v>
      </c>
      <c r="I45">
        <v>4</v>
      </c>
    </row>
    <row r="46" spans="1:9" x14ac:dyDescent="0.45">
      <c r="F46">
        <v>2</v>
      </c>
      <c r="G46">
        <v>2</v>
      </c>
      <c r="H46">
        <v>2</v>
      </c>
      <c r="I46">
        <v>102</v>
      </c>
    </row>
    <row r="47" spans="1:9" x14ac:dyDescent="0.45">
      <c r="E47">
        <f>SUM(F47:I47)</f>
        <v>100</v>
      </c>
      <c r="F47">
        <f>F46/(1+$C$45/2)^F45</f>
        <v>1.9607843137254901</v>
      </c>
      <c r="G47">
        <f>G46/(1+$C$45/2)^G45</f>
        <v>1.9223375624759709</v>
      </c>
      <c r="H47">
        <f>H46/(1+$C$45/2)^H45</f>
        <v>1.8846446690940892</v>
      </c>
      <c r="I47">
        <f>I46/(1+$C$45/2)^I45</f>
        <v>94.232233454704456</v>
      </c>
    </row>
    <row r="49" spans="1:9" x14ac:dyDescent="0.45">
      <c r="A49">
        <f>PRICE(DATE(2014,3,31),DATE(2016,3,31),0.04,C49,100,2,1)</f>
        <v>98.119012895995127</v>
      </c>
      <c r="C49">
        <v>0.05</v>
      </c>
      <c r="F49">
        <v>1</v>
      </c>
      <c r="G49">
        <v>2</v>
      </c>
      <c r="H49">
        <v>3</v>
      </c>
      <c r="I49">
        <v>4</v>
      </c>
    </row>
    <row r="50" spans="1:9" x14ac:dyDescent="0.45">
      <c r="F50">
        <v>2</v>
      </c>
      <c r="G50">
        <v>2</v>
      </c>
      <c r="H50">
        <v>2</v>
      </c>
      <c r="I50">
        <v>102</v>
      </c>
    </row>
    <row r="51" spans="1:9" x14ac:dyDescent="0.45">
      <c r="E51">
        <f>SUM(F51:I51)</f>
        <v>98.119012895995112</v>
      </c>
      <c r="F51">
        <f>F50/(1+$C$49/2)^F49</f>
        <v>1.9512195121951221</v>
      </c>
      <c r="G51">
        <f>G50/(1+$C$49/2)^G49</f>
        <v>1.9036287923854849</v>
      </c>
      <c r="H51">
        <f>H50/(1+$C$49/2)^H49</f>
        <v>1.8571988218394977</v>
      </c>
      <c r="I51">
        <f>I50/(1+$C$49/2)^I49</f>
        <v>92.40696576957501</v>
      </c>
    </row>
    <row r="52" spans="1:9" x14ac:dyDescent="0.45">
      <c r="A52">
        <f>PRICE(DATE(2014,7,1),DATE(2016,3,31),0.04,C49,100,2)</f>
        <v>98.340446475311438</v>
      </c>
      <c r="D52">
        <f>1.025^(91/180)</f>
        <v>1.0125617314529436</v>
      </c>
      <c r="E52">
        <f>D52*E51</f>
        <v>99.351557586422516</v>
      </c>
    </row>
    <row r="53" spans="1:9" x14ac:dyDescent="0.45">
      <c r="A53">
        <f>2*91/180</f>
        <v>1.0111111111111111</v>
      </c>
    </row>
    <row r="54" spans="1:9" x14ac:dyDescent="0.45">
      <c r="A54">
        <f>A52+A53</f>
        <v>99.351557586422544</v>
      </c>
    </row>
    <row r="56" spans="1:9" x14ac:dyDescent="0.45">
      <c r="B56" s="18"/>
    </row>
    <row r="58" spans="1:9" x14ac:dyDescent="0.45">
      <c r="A58" t="s">
        <v>53</v>
      </c>
      <c r="B58">
        <v>0.04</v>
      </c>
    </row>
    <row r="59" spans="1:9" x14ac:dyDescent="0.45">
      <c r="A59" t="s">
        <v>54</v>
      </c>
      <c r="B59">
        <v>100</v>
      </c>
    </row>
    <row r="60" spans="1:9" x14ac:dyDescent="0.45">
      <c r="A60" t="s">
        <v>51</v>
      </c>
      <c r="B60" s="18">
        <v>42154</v>
      </c>
    </row>
    <row r="61" spans="1:9" x14ac:dyDescent="0.45">
      <c r="A61" t="s">
        <v>52</v>
      </c>
      <c r="B61" s="18">
        <v>42814</v>
      </c>
    </row>
    <row r="62" spans="1:9" x14ac:dyDescent="0.45">
      <c r="A62" t="s">
        <v>63</v>
      </c>
      <c r="B62">
        <v>0.05</v>
      </c>
    </row>
    <row r="63" spans="1:9" x14ac:dyDescent="0.45">
      <c r="B63" s="18" t="s">
        <v>59</v>
      </c>
      <c r="C63" t="s">
        <v>60</v>
      </c>
    </row>
    <row r="64" spans="1:9" x14ac:dyDescent="0.45">
      <c r="A64" t="s">
        <v>57</v>
      </c>
      <c r="B64">
        <f>COUPNUM($B$60,$B$61,2,1)</f>
        <v>4</v>
      </c>
      <c r="C64">
        <f>COUPNUM($B$60,$B$61,2)</f>
        <v>4</v>
      </c>
    </row>
    <row r="65" spans="1:10" x14ac:dyDescent="0.45">
      <c r="A65" t="s">
        <v>55</v>
      </c>
      <c r="B65" s="18">
        <f>COUPPCD($B$60,$B$61,2,1)</f>
        <v>42083</v>
      </c>
      <c r="C65" s="18">
        <f>COUPPCD($B$60,$B$61,2)</f>
        <v>42083</v>
      </c>
    </row>
    <row r="66" spans="1:10" x14ac:dyDescent="0.45">
      <c r="A66" t="s">
        <v>56</v>
      </c>
      <c r="B66" s="18">
        <f>COUPNCD($B$60,$B$61,2,1)</f>
        <v>42267</v>
      </c>
      <c r="C66" s="18">
        <f>COUPNCD($B$60,$B$61,2)</f>
        <v>42267</v>
      </c>
    </row>
    <row r="67" spans="1:10" x14ac:dyDescent="0.45">
      <c r="A67" t="s">
        <v>58</v>
      </c>
      <c r="B67">
        <f>COUPDAYBS($B$60,$B$61,2,1)</f>
        <v>71</v>
      </c>
      <c r="C67">
        <f>COUPDAYBS($B$60,$B$61,2)</f>
        <v>70</v>
      </c>
    </row>
    <row r="68" spans="1:10" x14ac:dyDescent="0.45">
      <c r="A68" t="s">
        <v>61</v>
      </c>
      <c r="B68">
        <f>COUPDAYSNC($B$60,$B$61,2,1)</f>
        <v>113</v>
      </c>
      <c r="C68">
        <f>COUPDAYSNC($B$60,$B$61,2)</f>
        <v>110</v>
      </c>
    </row>
    <row r="69" spans="1:10" x14ac:dyDescent="0.45">
      <c r="A69" t="s">
        <v>62</v>
      </c>
      <c r="B69">
        <f>COUPDAYS($B$60,$B$61,2,1)</f>
        <v>184</v>
      </c>
      <c r="C69">
        <f>COUPDAYS($B$60,$B$61,2)</f>
        <v>180</v>
      </c>
    </row>
    <row r="70" spans="1:10" x14ac:dyDescent="0.45">
      <c r="G70">
        <v>1</v>
      </c>
      <c r="H70">
        <v>2</v>
      </c>
      <c r="I70">
        <v>3</v>
      </c>
      <c r="J70">
        <v>4</v>
      </c>
    </row>
    <row r="71" spans="1:10" x14ac:dyDescent="0.45">
      <c r="A71" t="s">
        <v>64</v>
      </c>
      <c r="B71">
        <f>PRICE($B$60,$B$61,$B$58,$B$62,$B$59,2,1)</f>
        <v>98.286632306106469</v>
      </c>
      <c r="C71">
        <f>PRICE($B$60,$B$61,$B$58,$B$62,$B$59,2)</f>
        <v>98.287979229938315</v>
      </c>
      <c r="G71">
        <v>2</v>
      </c>
      <c r="H71">
        <v>2</v>
      </c>
      <c r="I71">
        <v>2</v>
      </c>
      <c r="J71">
        <v>102</v>
      </c>
    </row>
    <row r="72" spans="1:10" x14ac:dyDescent="0.45">
      <c r="A72" t="s">
        <v>65</v>
      </c>
      <c r="B72">
        <f>($B$58*$B$59/2)*(B67/B69)</f>
        <v>0.77173913043478259</v>
      </c>
      <c r="C72">
        <f>($B$58*$B$59/2)*(C67/C69)</f>
        <v>0.77777777777777779</v>
      </c>
      <c r="D72">
        <f>1.025^(B67/B69)</f>
        <v>1.0095736648058395</v>
      </c>
      <c r="E72">
        <f>1.025^(C67/C69)</f>
        <v>1.0096489363659262</v>
      </c>
      <c r="F72">
        <f>SUM(G72:J72)</f>
        <v>98.119012895995112</v>
      </c>
      <c r="G72">
        <f>G71/(1+$B$62/2)^G70</f>
        <v>1.9512195121951221</v>
      </c>
      <c r="H72">
        <f t="shared" ref="H72:J72" si="0">H71/(1+$B$62/2)^H70</f>
        <v>1.9036287923854849</v>
      </c>
      <c r="I72">
        <f t="shared" si="0"/>
        <v>1.8571988218394977</v>
      </c>
      <c r="J72">
        <f t="shared" si="0"/>
        <v>92.40696576957501</v>
      </c>
    </row>
    <row r="73" spans="1:10" x14ac:dyDescent="0.45">
      <c r="A73" t="s">
        <v>66</v>
      </c>
      <c r="B73">
        <f>B71+B72</f>
        <v>99.05837143654125</v>
      </c>
      <c r="C73">
        <f>C71+C72</f>
        <v>99.065757007716087</v>
      </c>
      <c r="D73">
        <f>D72*F72</f>
        <v>99.058371436541222</v>
      </c>
      <c r="E73">
        <f>E72*F72</f>
        <v>99.065757007716059</v>
      </c>
    </row>
    <row r="75" spans="1:10" x14ac:dyDescent="0.45">
      <c r="B75" s="18">
        <v>42495</v>
      </c>
    </row>
    <row r="76" spans="1:10" x14ac:dyDescent="0.45">
      <c r="B76" s="18">
        <f>COUPPCD(B75,$B$61,2,1)</f>
        <v>42449</v>
      </c>
    </row>
    <row r="77" spans="1:10" x14ac:dyDescent="0.45">
      <c r="B77" s="18">
        <f>COUPNCD(B75,$B$61,2,1)</f>
        <v>42633</v>
      </c>
    </row>
    <row r="78" spans="1:10" x14ac:dyDescent="0.45">
      <c r="B78">
        <f>COUPDAYBS(B75,$B$61,2,1)</f>
        <v>46</v>
      </c>
    </row>
    <row r="79" spans="1:10" x14ac:dyDescent="0.45">
      <c r="B79">
        <f>COUPDAYSNC(B75,$B$61,2,1)</f>
        <v>138</v>
      </c>
    </row>
    <row r="80" spans="1:10" x14ac:dyDescent="0.45">
      <c r="B80">
        <f>COUPDAYS(B75,$B$61,2,1)</f>
        <v>184</v>
      </c>
    </row>
    <row r="81" spans="2:2" x14ac:dyDescent="0.45">
      <c r="B81">
        <f>B78/B80</f>
        <v>0.25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topLeftCell="A10" workbookViewId="0">
      <selection activeCell="D1" sqref="D1"/>
    </sheetView>
  </sheetViews>
  <sheetFormatPr defaultColWidth="8.69921875" defaultRowHeight="18.8" x14ac:dyDescent="0.45"/>
  <cols>
    <col min="1" max="1" width="10.3984375" customWidth="1"/>
    <col min="2" max="2" width="10.5" customWidth="1"/>
    <col min="3" max="6" width="10.69921875" customWidth="1"/>
  </cols>
  <sheetData>
    <row r="1" spans="1:7" x14ac:dyDescent="0.45">
      <c r="A1" t="s">
        <v>68</v>
      </c>
      <c r="B1">
        <v>0.03</v>
      </c>
    </row>
    <row r="2" spans="1:7" x14ac:dyDescent="0.45">
      <c r="A2" t="s">
        <v>31</v>
      </c>
      <c r="B2">
        <v>3</v>
      </c>
    </row>
    <row r="3" spans="1:7" x14ac:dyDescent="0.45">
      <c r="A3" t="s">
        <v>32</v>
      </c>
      <c r="B3">
        <f>1/$B$1*(1-1/(1+$B$1)^$B$2)</f>
        <v>2.8286113548946799</v>
      </c>
      <c r="C3">
        <f>PV($B$1,$B$2,1)</f>
        <v>-2.8286113548946812</v>
      </c>
    </row>
    <row r="5" spans="1:7" x14ac:dyDescent="0.45">
      <c r="A5" t="s">
        <v>39</v>
      </c>
    </row>
    <row r="6" spans="1:7" x14ac:dyDescent="0.45">
      <c r="A6" t="s">
        <v>34</v>
      </c>
      <c r="C6" s="6">
        <v>10000000</v>
      </c>
    </row>
    <row r="7" spans="1:7" x14ac:dyDescent="0.45">
      <c r="A7" t="s">
        <v>40</v>
      </c>
      <c r="C7" s="6"/>
    </row>
    <row r="8" spans="1:7" x14ac:dyDescent="0.45">
      <c r="A8" t="s">
        <v>33</v>
      </c>
      <c r="C8" s="6">
        <f>10000000/$B$3</f>
        <v>3535303.6332459813</v>
      </c>
    </row>
    <row r="9" spans="1:7" x14ac:dyDescent="0.45">
      <c r="A9" t="s">
        <v>42</v>
      </c>
      <c r="C9" s="1">
        <f>PMT($B$1,$B$2,-$C$6)</f>
        <v>3535303.6332459799</v>
      </c>
    </row>
    <row r="10" spans="1:7" x14ac:dyDescent="0.45">
      <c r="A10" t="s">
        <v>43</v>
      </c>
      <c r="C10" s="5" t="s">
        <v>14</v>
      </c>
      <c r="D10" s="5" t="s">
        <v>15</v>
      </c>
      <c r="E10" s="5" t="s">
        <v>16</v>
      </c>
      <c r="F10" s="5" t="s">
        <v>17</v>
      </c>
    </row>
    <row r="11" spans="1:7" x14ac:dyDescent="0.45">
      <c r="B11" t="s">
        <v>44</v>
      </c>
      <c r="C11" s="6"/>
      <c r="D11" s="6">
        <v>3535303.6332459799</v>
      </c>
      <c r="E11" s="6">
        <f>D11</f>
        <v>3535303.6332459799</v>
      </c>
      <c r="F11" s="6">
        <f>D11</f>
        <v>3535303.6332459799</v>
      </c>
    </row>
    <row r="12" spans="1:7" x14ac:dyDescent="0.45">
      <c r="C12" s="6">
        <f>SUM(D12:F12)</f>
        <v>10000000</v>
      </c>
      <c r="D12" s="6">
        <f>D11/(1+$B$1)</f>
        <v>3432333.6245106598</v>
      </c>
      <c r="E12" s="6">
        <f>E11/(1+$B$1)^2</f>
        <v>3332362.7422433593</v>
      </c>
      <c r="F12" s="6">
        <f>F11/(1+$B$1)^3</f>
        <v>3235303.6332459799</v>
      </c>
    </row>
    <row r="13" spans="1:7" x14ac:dyDescent="0.45">
      <c r="C13" s="1"/>
    </row>
    <row r="14" spans="1:7" x14ac:dyDescent="0.45">
      <c r="A14" t="s">
        <v>45</v>
      </c>
    </row>
    <row r="15" spans="1:7" x14ac:dyDescent="0.45">
      <c r="B15" t="s">
        <v>35</v>
      </c>
      <c r="D15" s="6">
        <f>$C$8</f>
        <v>3535303.6332459813</v>
      </c>
      <c r="E15" s="6">
        <f>$C$8</f>
        <v>3535303.6332459813</v>
      </c>
      <c r="F15" s="6">
        <f>$C$8</f>
        <v>3535303.6332459813</v>
      </c>
    </row>
    <row r="16" spans="1:7" x14ac:dyDescent="0.45">
      <c r="B16" t="s">
        <v>38</v>
      </c>
      <c r="C16" s="6">
        <f>C6</f>
        <v>10000000</v>
      </c>
      <c r="D16" s="6">
        <f>C16-D18</f>
        <v>6764696.3667540187</v>
      </c>
      <c r="E16" s="6">
        <f>D16-E18</f>
        <v>3432333.624510658</v>
      </c>
      <c r="F16" s="6">
        <f>E16-F18</f>
        <v>-3.7252902984619141E-9</v>
      </c>
      <c r="G16" t="s">
        <v>41</v>
      </c>
    </row>
    <row r="17" spans="2:6" x14ac:dyDescent="0.45">
      <c r="B17" t="s">
        <v>36</v>
      </c>
      <c r="D17" s="6">
        <f>C16*$B$1</f>
        <v>300000</v>
      </c>
      <c r="E17" s="6">
        <f>D16*$B$1</f>
        <v>202940.89100262054</v>
      </c>
      <c r="F17" s="6">
        <f>E16*$B$1</f>
        <v>102970.00873531973</v>
      </c>
    </row>
    <row r="18" spans="2:6" x14ac:dyDescent="0.45">
      <c r="B18" t="s">
        <v>37</v>
      </c>
      <c r="D18" s="6">
        <f>D15-D17</f>
        <v>3235303.6332459813</v>
      </c>
      <c r="E18" s="6">
        <f>E15-E17</f>
        <v>3332362.7422433607</v>
      </c>
      <c r="F18" s="6">
        <f>F15-F17</f>
        <v>3432333.6245106617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3"/>
  <sheetViews>
    <sheetView tabSelected="1" zoomScaleNormal="100" workbookViewId="0">
      <selection activeCell="D1" sqref="D1"/>
    </sheetView>
  </sheetViews>
  <sheetFormatPr defaultColWidth="8.69921875" defaultRowHeight="18.8" x14ac:dyDescent="0.45"/>
  <cols>
    <col min="1" max="2" width="11.09765625" customWidth="1"/>
    <col min="3" max="3" width="11.69921875" customWidth="1"/>
    <col min="4" max="9" width="11.09765625" customWidth="1"/>
  </cols>
  <sheetData>
    <row r="1" spans="1:9" x14ac:dyDescent="0.45">
      <c r="A1" t="s">
        <v>13</v>
      </c>
      <c r="B1">
        <v>0.08</v>
      </c>
    </row>
    <row r="2" spans="1:9" x14ac:dyDescent="0.45">
      <c r="A2" t="s">
        <v>1</v>
      </c>
      <c r="B2">
        <v>3</v>
      </c>
    </row>
    <row r="3" spans="1:9" x14ac:dyDescent="0.45">
      <c r="A3" t="s">
        <v>18</v>
      </c>
      <c r="B3">
        <v>10</v>
      </c>
    </row>
    <row r="4" spans="1:9" x14ac:dyDescent="0.45">
      <c r="A4" t="s">
        <v>19</v>
      </c>
      <c r="B4">
        <v>100</v>
      </c>
    </row>
    <row r="6" spans="1:9" x14ac:dyDescent="0.45">
      <c r="A6" t="s">
        <v>48</v>
      </c>
    </row>
    <row r="7" spans="1:9" x14ac:dyDescent="0.45">
      <c r="B7" t="s">
        <v>4</v>
      </c>
      <c r="C7" t="s">
        <v>26</v>
      </c>
      <c r="D7" s="5" t="s">
        <v>14</v>
      </c>
      <c r="E7" s="5" t="s">
        <v>15</v>
      </c>
      <c r="F7" s="5" t="s">
        <v>16</v>
      </c>
      <c r="G7" s="5" t="s">
        <v>17</v>
      </c>
      <c r="H7" s="5" t="s">
        <v>20</v>
      </c>
    </row>
    <row r="8" spans="1:9" x14ac:dyDescent="0.45">
      <c r="A8" s="7"/>
      <c r="B8" s="7"/>
      <c r="C8" s="7"/>
      <c r="D8" s="7"/>
      <c r="E8" s="7">
        <f>$B$3</f>
        <v>10</v>
      </c>
      <c r="F8" s="7">
        <f>$B$3</f>
        <v>10</v>
      </c>
      <c r="G8" s="7">
        <f>$B$3</f>
        <v>10</v>
      </c>
      <c r="H8" s="7"/>
      <c r="I8" t="s">
        <v>21</v>
      </c>
    </row>
    <row r="9" spans="1:9" x14ac:dyDescent="0.45">
      <c r="A9" s="8" t="s">
        <v>23</v>
      </c>
      <c r="B9" s="7">
        <f>PV($B$1,$B$2,$B$3)</f>
        <v>-25.770969872478801</v>
      </c>
      <c r="C9" s="7">
        <f>SUM(E9:G9)</f>
        <v>25.770969872478787</v>
      </c>
      <c r="D9" s="7"/>
      <c r="E9" s="7">
        <f>E8/(1+$B$1)</f>
        <v>9.2592592592592595</v>
      </c>
      <c r="F9" s="7">
        <f>F8/(1+$B$1)^2</f>
        <v>8.5733882030178314</v>
      </c>
      <c r="G9" s="7">
        <f>G8/(1+$B$1)^3</f>
        <v>7.938322410201696</v>
      </c>
      <c r="H9" s="7"/>
      <c r="I9" t="s">
        <v>22</v>
      </c>
    </row>
    <row r="10" spans="1:9" x14ac:dyDescent="0.45">
      <c r="A10" s="9"/>
      <c r="B10" s="9"/>
      <c r="C10" s="9"/>
      <c r="D10" s="9"/>
      <c r="E10" s="9">
        <f>$B$3</f>
        <v>10</v>
      </c>
      <c r="F10" s="9">
        <f>$B$3</f>
        <v>10</v>
      </c>
      <c r="G10" s="9">
        <f>$B$3</f>
        <v>10</v>
      </c>
      <c r="H10" s="9">
        <f>$B$4</f>
        <v>100</v>
      </c>
      <c r="I10" t="s">
        <v>21</v>
      </c>
    </row>
    <row r="11" spans="1:9" x14ac:dyDescent="0.45">
      <c r="A11" s="10" t="s">
        <v>24</v>
      </c>
      <c r="B11" s="9">
        <f>PV($B$1,$B$2,$B$3,$B$4)</f>
        <v>-105.15419397449577</v>
      </c>
      <c r="C11" s="9">
        <f>SUM(E11:H11)</f>
        <v>105.15419397449574</v>
      </c>
      <c r="D11" s="9"/>
      <c r="E11" s="9">
        <f>E10/(1+$B$1)</f>
        <v>9.2592592592592595</v>
      </c>
      <c r="F11" s="9">
        <f>F10/(1+$B$1)^2</f>
        <v>8.5733882030178314</v>
      </c>
      <c r="G11" s="9">
        <f>G10/(1+$B$1)^3</f>
        <v>7.938322410201696</v>
      </c>
      <c r="H11" s="9">
        <f>H10/(1+$B$1)^3</f>
        <v>79.383224102016953</v>
      </c>
      <c r="I11" t="s">
        <v>22</v>
      </c>
    </row>
    <row r="12" spans="1:9" x14ac:dyDescent="0.45">
      <c r="A12" s="11"/>
      <c r="B12" s="11"/>
      <c r="C12" s="11"/>
      <c r="D12" s="11">
        <f>$B$3</f>
        <v>10</v>
      </c>
      <c r="E12" s="11">
        <f>$B$3</f>
        <v>10</v>
      </c>
      <c r="F12" s="11">
        <f>$B$3</f>
        <v>10</v>
      </c>
      <c r="G12" s="11"/>
      <c r="H12" s="11"/>
      <c r="I12" t="s">
        <v>21</v>
      </c>
    </row>
    <row r="13" spans="1:9" x14ac:dyDescent="0.45">
      <c r="A13" s="12" t="s">
        <v>25</v>
      </c>
      <c r="B13" s="11">
        <f>PV($B$1,$B$2,$B$3,,1)</f>
        <v>-27.832647462277109</v>
      </c>
      <c r="C13" s="11">
        <f>SUM(D13:F13)</f>
        <v>27.832647462277091</v>
      </c>
      <c r="D13" s="11">
        <f>D12/(1+$B$1)^0</f>
        <v>10</v>
      </c>
      <c r="E13" s="11">
        <f>E12/(1+$B$1)^1</f>
        <v>9.2592592592592595</v>
      </c>
      <c r="F13" s="11">
        <f>F12/(1+$B$1)^2</f>
        <v>8.5733882030178314</v>
      </c>
      <c r="G13" s="11"/>
      <c r="H13" s="11"/>
      <c r="I13" t="s">
        <v>22</v>
      </c>
    </row>
    <row r="14" spans="1:9" x14ac:dyDescent="0.45">
      <c r="A14" s="13"/>
      <c r="B14" s="13"/>
      <c r="C14" s="13"/>
      <c r="D14" s="13">
        <f>$B$3</f>
        <v>10</v>
      </c>
      <c r="E14" s="13">
        <f>$B$3</f>
        <v>10</v>
      </c>
      <c r="F14" s="13">
        <f>$B$3</f>
        <v>10</v>
      </c>
      <c r="G14" s="13"/>
      <c r="H14" s="13">
        <v>100</v>
      </c>
      <c r="I14" t="s">
        <v>21</v>
      </c>
    </row>
    <row r="15" spans="1:9" x14ac:dyDescent="0.45">
      <c r="A15" s="14" t="s">
        <v>27</v>
      </c>
      <c r="B15" s="13">
        <f>PV($B$1,$B$2,$B$3,$B$4,1)</f>
        <v>-107.21587156429406</v>
      </c>
      <c r="C15" s="13">
        <f>SUM(D15:H15)</f>
        <v>107.21587156429405</v>
      </c>
      <c r="D15" s="13">
        <f>D14/(1+$B$1)^0</f>
        <v>10</v>
      </c>
      <c r="E15" s="13">
        <f>E14/(1+$B$1)^1</f>
        <v>9.2592592592592595</v>
      </c>
      <c r="F15" s="13">
        <f>F14/(1+$B$1)^2</f>
        <v>8.5733882030178314</v>
      </c>
      <c r="G15" s="13"/>
      <c r="H15" s="13">
        <f>H14/(1+$B$1)^3</f>
        <v>79.383224102016953</v>
      </c>
      <c r="I15" t="s">
        <v>22</v>
      </c>
    </row>
    <row r="16" spans="1:9" x14ac:dyDescent="0.45">
      <c r="A16" s="4"/>
    </row>
    <row r="17" spans="1:9" x14ac:dyDescent="0.45">
      <c r="A17" s="4"/>
      <c r="B17" t="s">
        <v>5</v>
      </c>
      <c r="E17" t="s">
        <v>46</v>
      </c>
      <c r="H17" t="s">
        <v>47</v>
      </c>
    </row>
    <row r="18" spans="1:9" x14ac:dyDescent="0.45">
      <c r="A18" s="8" t="s">
        <v>23</v>
      </c>
      <c r="B18" s="7">
        <f>RATE($B$2,$B$3,-25.771)</f>
        <v>7.9999352110033714E-2</v>
      </c>
      <c r="C18" s="7">
        <f>RATE($B$2,$B$3,B9)</f>
        <v>8.0000000000137877E-2</v>
      </c>
      <c r="D18" s="7"/>
      <c r="E18" s="7">
        <f>PMT($B$1,$B$2,-25.771)</f>
        <v>10.000011690487925</v>
      </c>
      <c r="F18" s="7">
        <f>PMT($B$1,$B$2,B9)</f>
        <v>10.000000000000005</v>
      </c>
      <c r="G18" s="7"/>
      <c r="H18" s="7">
        <f>NPER($B$1,$B$3,-25.771)</f>
        <v>3.0000039450615716</v>
      </c>
      <c r="I18" s="7">
        <f>NPER($B$1,$B$3,B9)</f>
        <v>2.9999999999999991</v>
      </c>
    </row>
    <row r="19" spans="1:9" x14ac:dyDescent="0.45">
      <c r="A19" s="10" t="s">
        <v>24</v>
      </c>
      <c r="B19" s="9">
        <f>RATE($B$2,$B$3,-105.154,$B$4)</f>
        <v>8.0000726470317779E-2</v>
      </c>
      <c r="C19" s="9">
        <f>RATE($B$2,$B$3,B11,$B$4)</f>
        <v>8.0000000000025925E-2</v>
      </c>
      <c r="D19" s="9"/>
      <c r="E19" s="9">
        <f>PMT($B$1,$B$2,-105.154,$B$4)</f>
        <v>9.9999247313947741</v>
      </c>
      <c r="F19" s="9">
        <f>PMT($B$1,$B$2,B11,$B$4)</f>
        <v>10.000000000000005</v>
      </c>
      <c r="G19" s="9"/>
      <c r="H19" s="9">
        <f>NPER($B$1,$B$3,-105.154,$B$4)</f>
        <v>2.9998730002597385</v>
      </c>
      <c r="I19" s="9">
        <f>NPER($B$1,$B$3,B11,$B$4)</f>
        <v>3.0000000000000036</v>
      </c>
    </row>
    <row r="20" spans="1:9" x14ac:dyDescent="0.45">
      <c r="A20" s="12" t="s">
        <v>25</v>
      </c>
      <c r="B20" s="11">
        <f>RATE($B$2,$B$3,-27.833,,1)</f>
        <v>7.9985581554280927E-2</v>
      </c>
      <c r="C20" s="11">
        <f>RATE($B$2,$B$3,B13,,1)</f>
        <v>8.0000000000581467E-2</v>
      </c>
      <c r="D20" s="11"/>
      <c r="E20" s="11">
        <f>PMT($B$1,$B$2,-27.833,,1)</f>
        <v>10.000126663380975</v>
      </c>
      <c r="F20" s="11">
        <f>PMT($B$1,$B$2,B13,,1)</f>
        <v>10.000000000000005</v>
      </c>
      <c r="G20" s="11"/>
      <c r="H20" s="11">
        <f>NPER($B$1,$B$3,-27.833,,1)</f>
        <v>3.000042743774797</v>
      </c>
      <c r="I20" s="11">
        <f>NPER($B$1,$B$3,B13,,1)</f>
        <v>2.9999999999999991</v>
      </c>
    </row>
    <row r="21" spans="1:9" x14ac:dyDescent="0.45">
      <c r="A21" s="14" t="s">
        <v>27</v>
      </c>
      <c r="B21" s="13">
        <f>RATE($B$2,$B$3,-107.216,$B$4,1)</f>
        <v>7.9999475685381294E-2</v>
      </c>
      <c r="C21" s="13">
        <f>RATE($B$2,$B$3,B15,$B$4,1)</f>
        <v>8.0000000000026952E-2</v>
      </c>
      <c r="D21" s="13"/>
      <c r="E21" s="13">
        <f>PMT($B$1,$B$2,-107.216,$B$4,1)</f>
        <v>10.000046145702131</v>
      </c>
      <c r="F21" s="13">
        <f>PMT($B$1,$B$2,B15,$B$4,1)</f>
        <v>10</v>
      </c>
      <c r="G21" s="13"/>
      <c r="H21" s="13">
        <f>NPER($B$1,$B$3,-107.216,$B$4,1)</f>
        <v>3.0000600646663207</v>
      </c>
      <c r="I21" s="13">
        <f>NPER($B$1,$B$3,B15,$B$4,1)</f>
        <v>2.9999999999999969</v>
      </c>
    </row>
    <row r="22" spans="1:9" x14ac:dyDescent="0.45">
      <c r="A22" s="4"/>
    </row>
    <row r="23" spans="1:9" x14ac:dyDescent="0.45">
      <c r="A23" s="4"/>
    </row>
    <row r="24" spans="1:9" x14ac:dyDescent="0.45">
      <c r="A24" s="17" t="s">
        <v>49</v>
      </c>
    </row>
    <row r="25" spans="1:9" x14ac:dyDescent="0.45">
      <c r="B25" t="s">
        <v>11</v>
      </c>
      <c r="C25" t="s">
        <v>28</v>
      </c>
      <c r="D25" s="5" t="s">
        <v>14</v>
      </c>
      <c r="E25" s="5" t="s">
        <v>15</v>
      </c>
      <c r="F25" s="5" t="s">
        <v>16</v>
      </c>
      <c r="G25" s="5" t="s">
        <v>17</v>
      </c>
      <c r="H25" s="5"/>
    </row>
    <row r="26" spans="1:9" x14ac:dyDescent="0.45">
      <c r="A26" s="7"/>
      <c r="B26" s="7"/>
      <c r="C26" s="7"/>
      <c r="D26" s="7"/>
      <c r="E26" s="7">
        <f>$B$3</f>
        <v>10</v>
      </c>
      <c r="F26" s="7">
        <f>$B$3</f>
        <v>10</v>
      </c>
      <c r="G26" s="7">
        <f>$B$3</f>
        <v>10</v>
      </c>
      <c r="H26" t="s">
        <v>21</v>
      </c>
    </row>
    <row r="27" spans="1:9" x14ac:dyDescent="0.45">
      <c r="A27" s="8" t="s">
        <v>23</v>
      </c>
      <c r="B27" s="7">
        <f>FV($B$1,$B$2,$B$3)</f>
        <v>-32.46400000000002</v>
      </c>
      <c r="C27" s="7">
        <f>SUM(E27:G27)</f>
        <v>32.463999999999999</v>
      </c>
      <c r="D27" s="7"/>
      <c r="E27" s="7">
        <f>E26*(1+$B$1)^2</f>
        <v>11.664000000000001</v>
      </c>
      <c r="F27" s="7">
        <f>F26*(1+$B$1)^1</f>
        <v>10.8</v>
      </c>
      <c r="G27" s="7">
        <f>G26*(1+$B$1)^0</f>
        <v>10</v>
      </c>
      <c r="H27" t="s">
        <v>29</v>
      </c>
    </row>
    <row r="28" spans="1:9" x14ac:dyDescent="0.45">
      <c r="A28" s="15"/>
      <c r="B28" s="15"/>
      <c r="C28" s="15"/>
      <c r="D28" s="15">
        <v>50</v>
      </c>
      <c r="E28" s="15">
        <f>$B$3</f>
        <v>10</v>
      </c>
      <c r="F28" s="15">
        <f>$B$3</f>
        <v>10</v>
      </c>
      <c r="G28" s="15">
        <f>$B$3</f>
        <v>10</v>
      </c>
      <c r="H28" t="s">
        <v>21</v>
      </c>
    </row>
    <row r="29" spans="1:9" x14ac:dyDescent="0.45">
      <c r="A29" s="16" t="s">
        <v>24</v>
      </c>
      <c r="B29" s="15">
        <f>FV($B$1,$B$2,$B$3,D28)</f>
        <v>-95.449600000000032</v>
      </c>
      <c r="C29" s="15">
        <f>SUM(D29:G29)</f>
        <v>95.449600000000004</v>
      </c>
      <c r="D29" s="15">
        <f>D28*(1+$B$1)^3</f>
        <v>62.985600000000005</v>
      </c>
      <c r="E29" s="15">
        <f>E28*(1+$B$1)^2</f>
        <v>11.664000000000001</v>
      </c>
      <c r="F29" s="15">
        <f>F28*(1+$B$1)^1</f>
        <v>10.8</v>
      </c>
      <c r="G29" s="15">
        <f>G28*(1+$B$1)^0</f>
        <v>10</v>
      </c>
      <c r="H29" t="s">
        <v>29</v>
      </c>
    </row>
    <row r="30" spans="1:9" x14ac:dyDescent="0.45">
      <c r="A30" s="11"/>
      <c r="B30" s="11"/>
      <c r="C30" s="11"/>
      <c r="D30" s="11">
        <f>$B$3</f>
        <v>10</v>
      </c>
      <c r="E30" s="11">
        <f>$B$3</f>
        <v>10</v>
      </c>
      <c r="F30" s="11">
        <f>$B$3</f>
        <v>10</v>
      </c>
      <c r="G30" s="11"/>
      <c r="H30" t="s">
        <v>21</v>
      </c>
    </row>
    <row r="31" spans="1:9" x14ac:dyDescent="0.45">
      <c r="A31" s="12" t="s">
        <v>25</v>
      </c>
      <c r="B31" s="11">
        <f>FV($B$1,$B$2,$B$3,,1)</f>
        <v>-35.061120000000024</v>
      </c>
      <c r="C31" s="11">
        <f>SUM(D31:F31)</f>
        <v>35.061120000000003</v>
      </c>
      <c r="D31" s="11">
        <f>D30*(1+$B$1)^3</f>
        <v>12.597120000000002</v>
      </c>
      <c r="E31" s="11">
        <f>E30*(1+$B$1)^2</f>
        <v>11.664000000000001</v>
      </c>
      <c r="F31" s="11">
        <f>F30*(1+$B$1)^1</f>
        <v>10.8</v>
      </c>
      <c r="G31" s="11"/>
      <c r="H31" t="s">
        <v>29</v>
      </c>
    </row>
    <row r="32" spans="1:9" x14ac:dyDescent="0.45">
      <c r="A32" s="13"/>
      <c r="B32" s="13"/>
      <c r="C32" s="13"/>
      <c r="D32" s="13">
        <f>$B$3+D28</f>
        <v>60</v>
      </c>
      <c r="E32" s="13">
        <f>$B$3</f>
        <v>10</v>
      </c>
      <c r="F32" s="13">
        <f>$B$3</f>
        <v>10</v>
      </c>
      <c r="G32" s="13"/>
      <c r="H32" t="s">
        <v>21</v>
      </c>
    </row>
    <row r="33" spans="1:8" x14ac:dyDescent="0.45">
      <c r="A33" s="14" t="s">
        <v>27</v>
      </c>
      <c r="B33" s="13">
        <f>FV($B$1,$B$2,$B$3,D28,1)</f>
        <v>-98.046720000000022</v>
      </c>
      <c r="C33" s="13">
        <f>SUM(D33:F33)</f>
        <v>98.046720000000008</v>
      </c>
      <c r="D33" s="13">
        <f>D32*(1+$B$1)^3</f>
        <v>75.582720000000009</v>
      </c>
      <c r="E33" s="13">
        <f>E32*(1+$B$1)^2</f>
        <v>11.664000000000001</v>
      </c>
      <c r="F33" s="13">
        <f>F32*(1+$B$1)^1</f>
        <v>10.8</v>
      </c>
      <c r="G33" s="13"/>
      <c r="H33" t="s">
        <v>29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workbookViewId="0"/>
  </sheetViews>
  <sheetFormatPr defaultColWidth="8.69921875" defaultRowHeight="18.8" x14ac:dyDescent="0.45"/>
  <cols>
    <col min="1" max="1" width="13.09765625" customWidth="1"/>
    <col min="2" max="2" width="12" customWidth="1"/>
    <col min="4" max="4" width="11.8984375" customWidth="1"/>
  </cols>
  <sheetData>
    <row r="1" spans="1:9" x14ac:dyDescent="0.45">
      <c r="A1" t="s">
        <v>75</v>
      </c>
    </row>
    <row r="3" spans="1:9" x14ac:dyDescent="0.45">
      <c r="A3" t="s">
        <v>53</v>
      </c>
      <c r="B3">
        <v>0.04</v>
      </c>
    </row>
    <row r="4" spans="1:9" x14ac:dyDescent="0.45">
      <c r="A4" t="s">
        <v>54</v>
      </c>
      <c r="B4">
        <v>100</v>
      </c>
    </row>
    <row r="5" spans="1:9" x14ac:dyDescent="0.45">
      <c r="A5" t="s">
        <v>51</v>
      </c>
      <c r="B5" s="18">
        <v>42154</v>
      </c>
      <c r="C5" t="s">
        <v>76</v>
      </c>
    </row>
    <row r="6" spans="1:9" x14ac:dyDescent="0.45">
      <c r="A6" t="s">
        <v>52</v>
      </c>
      <c r="B6" s="18">
        <v>42814</v>
      </c>
    </row>
    <row r="7" spans="1:9" x14ac:dyDescent="0.45">
      <c r="A7" t="s">
        <v>13</v>
      </c>
      <c r="B7">
        <v>0.05</v>
      </c>
    </row>
    <row r="8" spans="1:9" x14ac:dyDescent="0.45">
      <c r="B8" s="18" t="s">
        <v>77</v>
      </c>
    </row>
    <row r="9" spans="1:9" x14ac:dyDescent="0.45">
      <c r="A9" t="s">
        <v>57</v>
      </c>
      <c r="B9">
        <f>COUPNUM($B$5,$B$6,2,1)</f>
        <v>4</v>
      </c>
    </row>
    <row r="10" spans="1:9" x14ac:dyDescent="0.45">
      <c r="A10" t="s">
        <v>55</v>
      </c>
      <c r="B10" s="18">
        <f>COUPPCD($B$5,$B$6,2,1)</f>
        <v>42083</v>
      </c>
    </row>
    <row r="11" spans="1:9" x14ac:dyDescent="0.45">
      <c r="A11" t="s">
        <v>56</v>
      </c>
      <c r="B11" s="18">
        <f>COUPNCD($B$5,$B$6,2,1)</f>
        <v>42267</v>
      </c>
    </row>
    <row r="12" spans="1:9" x14ac:dyDescent="0.45">
      <c r="A12" t="s">
        <v>58</v>
      </c>
      <c r="B12">
        <f>COUPDAYBS($B$5,$B$6,2,1)</f>
        <v>71</v>
      </c>
    </row>
    <row r="13" spans="1:9" x14ac:dyDescent="0.45">
      <c r="A13" t="s">
        <v>61</v>
      </c>
      <c r="B13">
        <f>COUPDAYSNC($B$5,$B$6,2,1)</f>
        <v>113</v>
      </c>
      <c r="E13" t="s">
        <v>78</v>
      </c>
    </row>
    <row r="14" spans="1:9" x14ac:dyDescent="0.45">
      <c r="A14" t="s">
        <v>62</v>
      </c>
      <c r="B14">
        <f>COUPDAYS($B$5,$B$6,2,1)</f>
        <v>184</v>
      </c>
      <c r="F14" s="20" t="s">
        <v>71</v>
      </c>
      <c r="H14" s="20" t="s">
        <v>72</v>
      </c>
    </row>
    <row r="15" spans="1:9" x14ac:dyDescent="0.45">
      <c r="E15" s="4" t="s">
        <v>73</v>
      </c>
      <c r="F15">
        <v>1</v>
      </c>
      <c r="G15">
        <v>2</v>
      </c>
      <c r="H15">
        <v>3</v>
      </c>
      <c r="I15">
        <v>4</v>
      </c>
    </row>
    <row r="16" spans="1:9" x14ac:dyDescent="0.45">
      <c r="A16" t="s">
        <v>64</v>
      </c>
      <c r="B16">
        <f>PRICE($B$5,$B$6,$B$3,$B$7,$B$4,2,1)</f>
        <v>98.286632306106469</v>
      </c>
      <c r="D16" s="21" t="s">
        <v>80</v>
      </c>
      <c r="E16" s="4" t="s">
        <v>74</v>
      </c>
      <c r="F16">
        <f>$B$4*$B$3/2</f>
        <v>2</v>
      </c>
      <c r="G16">
        <f t="shared" ref="G16:H16" si="0">$B$4*$B$3/2</f>
        <v>2</v>
      </c>
      <c r="H16">
        <f t="shared" si="0"/>
        <v>2</v>
      </c>
      <c r="I16">
        <f>$B$4*$B$3/2+$B$4</f>
        <v>102</v>
      </c>
    </row>
    <row r="17" spans="1:9" x14ac:dyDescent="0.45">
      <c r="A17" t="s">
        <v>65</v>
      </c>
      <c r="B17">
        <f>($B$4*$B$3/2)*(B12/B14)</f>
        <v>0.77173913043478259</v>
      </c>
      <c r="D17" s="19">
        <f>(1+$B$7/2)^($B$12/$B$14)</f>
        <v>1.0095736648058395</v>
      </c>
      <c r="E17" s="19">
        <f>SUM(F17:I17)</f>
        <v>98.119012895995112</v>
      </c>
      <c r="F17">
        <f>F16/(1+$B$7/2)^F15</f>
        <v>1.9512195121951221</v>
      </c>
      <c r="G17">
        <f t="shared" ref="G17:I17" si="1">G16/(1+$B$7/2)^G15</f>
        <v>1.9036287923854849</v>
      </c>
      <c r="H17">
        <f t="shared" si="1"/>
        <v>1.8571988218394977</v>
      </c>
      <c r="I17">
        <f t="shared" si="1"/>
        <v>92.40696576957501</v>
      </c>
    </row>
    <row r="18" spans="1:9" x14ac:dyDescent="0.45">
      <c r="A18" t="s">
        <v>66</v>
      </c>
      <c r="B18">
        <f>B16+B17</f>
        <v>99.05837143654125</v>
      </c>
      <c r="D18">
        <f>D17*E17</f>
        <v>99.058371436541222</v>
      </c>
      <c r="E18" t="s">
        <v>79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workbookViewId="0">
      <selection activeCell="D1" sqref="D1"/>
    </sheetView>
  </sheetViews>
  <sheetFormatPr defaultColWidth="8.69921875" defaultRowHeight="18.8" x14ac:dyDescent="0.45"/>
  <cols>
    <col min="1" max="1" width="13.09765625" customWidth="1"/>
    <col min="2" max="2" width="12" customWidth="1"/>
    <col min="4" max="4" width="10.5" customWidth="1"/>
  </cols>
  <sheetData>
    <row r="1" spans="1:9" x14ac:dyDescent="0.45">
      <c r="A1" t="s">
        <v>75</v>
      </c>
    </row>
    <row r="3" spans="1:9" x14ac:dyDescent="0.45">
      <c r="A3" t="s">
        <v>53</v>
      </c>
      <c r="B3">
        <v>0.04</v>
      </c>
    </row>
    <row r="4" spans="1:9" x14ac:dyDescent="0.45">
      <c r="A4" t="s">
        <v>54</v>
      </c>
      <c r="B4">
        <v>100</v>
      </c>
    </row>
    <row r="5" spans="1:9" x14ac:dyDescent="0.45">
      <c r="A5" t="s">
        <v>51</v>
      </c>
      <c r="B5" s="18">
        <v>42495</v>
      </c>
      <c r="C5" t="s">
        <v>76</v>
      </c>
    </row>
    <row r="6" spans="1:9" x14ac:dyDescent="0.45">
      <c r="A6" t="s">
        <v>52</v>
      </c>
      <c r="B6" s="18">
        <v>43179</v>
      </c>
    </row>
    <row r="7" spans="1:9" x14ac:dyDescent="0.45">
      <c r="A7" t="s">
        <v>13</v>
      </c>
      <c r="B7">
        <v>0.05</v>
      </c>
    </row>
    <row r="8" spans="1:9" x14ac:dyDescent="0.45">
      <c r="B8" s="18" t="s">
        <v>77</v>
      </c>
    </row>
    <row r="9" spans="1:9" x14ac:dyDescent="0.45">
      <c r="A9" t="s">
        <v>57</v>
      </c>
      <c r="B9">
        <f>COUPNUM($B$5,$B$6,2,1)</f>
        <v>4</v>
      </c>
    </row>
    <row r="10" spans="1:9" x14ac:dyDescent="0.45">
      <c r="A10" t="s">
        <v>55</v>
      </c>
      <c r="B10" s="18">
        <f>COUPPCD($B$5,$B$6,2,1)</f>
        <v>42449</v>
      </c>
    </row>
    <row r="11" spans="1:9" x14ac:dyDescent="0.45">
      <c r="A11" t="s">
        <v>56</v>
      </c>
      <c r="B11" s="18">
        <f>COUPNCD($B$5,$B$6,2,1)</f>
        <v>42633</v>
      </c>
    </row>
    <row r="12" spans="1:9" x14ac:dyDescent="0.45">
      <c r="A12" t="s">
        <v>58</v>
      </c>
      <c r="B12">
        <f>COUPDAYBS($B$5,$B$6,2,1)</f>
        <v>46</v>
      </c>
    </row>
    <row r="13" spans="1:9" x14ac:dyDescent="0.45">
      <c r="A13" t="s">
        <v>61</v>
      </c>
      <c r="B13">
        <f>COUPDAYSNC($B$5,$B$6,2,1)</f>
        <v>138</v>
      </c>
      <c r="E13" t="s">
        <v>78</v>
      </c>
    </row>
    <row r="14" spans="1:9" x14ac:dyDescent="0.45">
      <c r="A14" t="s">
        <v>62</v>
      </c>
      <c r="B14">
        <f>COUPDAYS($B$5,$B$6,2,1)</f>
        <v>184</v>
      </c>
      <c r="F14" s="20" t="s">
        <v>71</v>
      </c>
      <c r="H14" s="20" t="s">
        <v>72</v>
      </c>
    </row>
    <row r="15" spans="1:9" x14ac:dyDescent="0.45">
      <c r="E15" s="4" t="s">
        <v>73</v>
      </c>
      <c r="F15">
        <v>1</v>
      </c>
      <c r="G15">
        <v>2</v>
      </c>
      <c r="H15">
        <v>3</v>
      </c>
      <c r="I15">
        <v>4</v>
      </c>
    </row>
    <row r="16" spans="1:9" x14ac:dyDescent="0.45">
      <c r="A16" t="s">
        <v>64</v>
      </c>
      <c r="B16">
        <f>PRICE($B$5,$B$6,$B$3,$B$7,$B$4,2,1)</f>
        <v>98.226589993075379</v>
      </c>
      <c r="D16" s="21" t="s">
        <v>80</v>
      </c>
      <c r="E16" s="4" t="s">
        <v>3</v>
      </c>
      <c r="F16">
        <f>$B$4*$B$3/2</f>
        <v>2</v>
      </c>
      <c r="G16">
        <f t="shared" ref="G16:H16" si="0">$B$4*$B$3/2</f>
        <v>2</v>
      </c>
      <c r="H16">
        <f t="shared" si="0"/>
        <v>2</v>
      </c>
      <c r="I16">
        <f>$B$4*$B$3/2+$B$4</f>
        <v>102</v>
      </c>
    </row>
    <row r="17" spans="1:9" x14ac:dyDescent="0.45">
      <c r="A17" t="s">
        <v>81</v>
      </c>
      <c r="B17">
        <f>B12/B14</f>
        <v>0.25</v>
      </c>
      <c r="D17" s="19">
        <f>(1+$B$7/2)^B17</f>
        <v>1.0061922463256361</v>
      </c>
      <c r="E17" s="19">
        <f>SUM(F17:I17)</f>
        <v>98.119012895995112</v>
      </c>
      <c r="F17">
        <f>F16/(1+$B$7/2)^F15</f>
        <v>1.9512195121951221</v>
      </c>
      <c r="G17">
        <f t="shared" ref="G17:I17" si="1">G16/(1+$B$7/2)^G15</f>
        <v>1.9036287923854849</v>
      </c>
      <c r="H17">
        <f t="shared" si="1"/>
        <v>1.8571988218394977</v>
      </c>
      <c r="I17">
        <f t="shared" si="1"/>
        <v>92.40696576957501</v>
      </c>
    </row>
    <row r="18" spans="1:9" x14ac:dyDescent="0.45">
      <c r="A18" t="s">
        <v>65</v>
      </c>
      <c r="B18">
        <f>($B$4*$B$3/2)*(B12/B14)</f>
        <v>0.5</v>
      </c>
      <c r="D18">
        <f>D17*E17</f>
        <v>98.726589993075379</v>
      </c>
      <c r="E18" t="s">
        <v>79</v>
      </c>
    </row>
    <row r="19" spans="1:9" x14ac:dyDescent="0.45">
      <c r="A19" t="s">
        <v>66</v>
      </c>
      <c r="B19">
        <f>B16+B18</f>
        <v>98.726589993075379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32"/>
  <sheetViews>
    <sheetView workbookViewId="0">
      <selection activeCell="G6" sqref="G6"/>
    </sheetView>
  </sheetViews>
  <sheetFormatPr defaultColWidth="8.69921875" defaultRowHeight="18.8" x14ac:dyDescent="0.45"/>
  <cols>
    <col min="1" max="1" width="9.796875" customWidth="1"/>
    <col min="2" max="2" width="11.19921875" customWidth="1"/>
    <col min="3" max="6" width="11.296875" customWidth="1"/>
    <col min="7" max="14" width="10.09765625" customWidth="1"/>
    <col min="15" max="27" width="9.69921875" customWidth="1"/>
  </cols>
  <sheetData>
    <row r="1" spans="1:35" x14ac:dyDescent="0.45">
      <c r="A1" t="s">
        <v>30</v>
      </c>
      <c r="B1">
        <v>0.03</v>
      </c>
      <c r="C1">
        <f>B1/B3</f>
        <v>2.5000000000000001E-3</v>
      </c>
    </row>
    <row r="2" spans="1:35" x14ac:dyDescent="0.45">
      <c r="A2" t="s">
        <v>31</v>
      </c>
      <c r="B2">
        <v>2</v>
      </c>
      <c r="C2">
        <f>B2*B3</f>
        <v>24</v>
      </c>
    </row>
    <row r="3" spans="1:35" x14ac:dyDescent="0.45">
      <c r="A3" t="s">
        <v>67</v>
      </c>
      <c r="B3">
        <v>12</v>
      </c>
      <c r="C3" s="4"/>
    </row>
    <row r="4" spans="1:35" x14ac:dyDescent="0.45">
      <c r="A4" t="s">
        <v>32</v>
      </c>
      <c r="B4">
        <f>1/$C$1*(1-1/(1+$C$1)^$C$2)</f>
        <v>23.265979574415631</v>
      </c>
      <c r="C4">
        <f>PV($C$1,$C$2,1)</f>
        <v>-23.265979574415624</v>
      </c>
    </row>
    <row r="5" spans="1:35" x14ac:dyDescent="0.45">
      <c r="I5" t="s">
        <v>69</v>
      </c>
      <c r="K5" s="6">
        <f>SUM(C25:N25)</f>
        <v>232646.24003979174</v>
      </c>
    </row>
    <row r="6" spans="1:35" x14ac:dyDescent="0.45">
      <c r="A6" t="s">
        <v>86</v>
      </c>
      <c r="I6" t="s">
        <v>70</v>
      </c>
      <c r="K6" s="6">
        <f>SUM(C31:N31)</f>
        <v>82844.635053668113</v>
      </c>
    </row>
    <row r="7" spans="1:35" x14ac:dyDescent="0.45">
      <c r="A7" t="s">
        <v>34</v>
      </c>
      <c r="B7" s="6">
        <v>10000000</v>
      </c>
    </row>
    <row r="8" spans="1:35" x14ac:dyDescent="0.45">
      <c r="A8" t="s">
        <v>40</v>
      </c>
      <c r="C8" s="6"/>
    </row>
    <row r="9" spans="1:35" x14ac:dyDescent="0.45">
      <c r="A9" t="s">
        <v>33</v>
      </c>
      <c r="C9" s="6">
        <f>10000000/$B$4</f>
        <v>429812.11979556934</v>
      </c>
    </row>
    <row r="10" spans="1:35" x14ac:dyDescent="0.45">
      <c r="A10" t="s">
        <v>42</v>
      </c>
      <c r="C10" s="1">
        <f>PMT($C$1,$C$2,-$B$7)</f>
        <v>429812.11979556107</v>
      </c>
    </row>
    <row r="11" spans="1:35" x14ac:dyDescent="0.45">
      <c r="A11" t="s">
        <v>84</v>
      </c>
      <c r="B11" s="5"/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t="s">
        <v>82</v>
      </c>
      <c r="AB11" s="5"/>
      <c r="AC11" s="5"/>
      <c r="AD11" s="5"/>
      <c r="AE11" s="5"/>
      <c r="AF11" s="5"/>
      <c r="AG11" s="5"/>
      <c r="AH11" s="5"/>
      <c r="AI11" s="5"/>
    </row>
    <row r="12" spans="1:35" x14ac:dyDescent="0.45">
      <c r="B12" s="5" t="s">
        <v>14</v>
      </c>
      <c r="C12" s="5">
        <v>1</v>
      </c>
      <c r="D12" s="5">
        <v>2</v>
      </c>
      <c r="E12" s="5">
        <v>3</v>
      </c>
      <c r="F12" s="5">
        <v>4</v>
      </c>
      <c r="G12" s="5">
        <v>5</v>
      </c>
      <c r="H12" s="5">
        <v>6</v>
      </c>
      <c r="I12" s="5">
        <v>7</v>
      </c>
      <c r="J12" s="5">
        <v>8</v>
      </c>
      <c r="K12" s="5">
        <v>9</v>
      </c>
      <c r="L12" s="5">
        <v>10</v>
      </c>
      <c r="M12" s="5">
        <v>11</v>
      </c>
      <c r="N12" s="5">
        <v>12</v>
      </c>
      <c r="O12" t="s">
        <v>83</v>
      </c>
    </row>
    <row r="13" spans="1:35" x14ac:dyDescent="0.45">
      <c r="A13" t="s">
        <v>44</v>
      </c>
      <c r="B13" s="6"/>
      <c r="C13" s="6">
        <v>429812.11979556089</v>
      </c>
      <c r="D13" s="6">
        <f t="shared" ref="D13:N13" si="0">$C13</f>
        <v>429812.11979556089</v>
      </c>
      <c r="E13" s="6">
        <f t="shared" si="0"/>
        <v>429812.11979556089</v>
      </c>
      <c r="F13" s="6">
        <f t="shared" si="0"/>
        <v>429812.11979556089</v>
      </c>
      <c r="G13" s="6">
        <f t="shared" si="0"/>
        <v>429812.11979556089</v>
      </c>
      <c r="H13" s="6">
        <f t="shared" si="0"/>
        <v>429812.11979556089</v>
      </c>
      <c r="I13" s="6">
        <f t="shared" si="0"/>
        <v>429812.11979556089</v>
      </c>
      <c r="J13" s="6">
        <f t="shared" si="0"/>
        <v>429812.11979556089</v>
      </c>
      <c r="K13" s="6">
        <f t="shared" si="0"/>
        <v>429812.11979556089</v>
      </c>
      <c r="L13" s="6">
        <f t="shared" si="0"/>
        <v>429812.11979556089</v>
      </c>
      <c r="M13" s="6">
        <f t="shared" si="0"/>
        <v>429812.11979556089</v>
      </c>
      <c r="N13" s="6">
        <f t="shared" si="0"/>
        <v>429812.11979556089</v>
      </c>
    </row>
    <row r="14" spans="1:35" x14ac:dyDescent="0.45">
      <c r="B14" s="6">
        <f>SUM(C14:N14,C18:N18)</f>
        <v>10000000.000000002</v>
      </c>
      <c r="C14" s="6">
        <f t="shared" ref="C14:N14" si="1">C13/(1+$C$1)^($B$3*(C11-1)+C12)</f>
        <v>428740.26912275405</v>
      </c>
      <c r="D14" s="6">
        <f t="shared" si="1"/>
        <v>427671.09139426838</v>
      </c>
      <c r="E14" s="6">
        <f t="shared" si="1"/>
        <v>426604.57994440745</v>
      </c>
      <c r="F14" s="6">
        <f t="shared" si="1"/>
        <v>425540.72812409716</v>
      </c>
      <c r="G14" s="6">
        <f t="shared" si="1"/>
        <v>424479.52930084505</v>
      </c>
      <c r="H14" s="6">
        <f t="shared" si="1"/>
        <v>423420.97685869841</v>
      </c>
      <c r="I14" s="6">
        <f t="shared" si="1"/>
        <v>422365.06419820292</v>
      </c>
      <c r="J14" s="6">
        <f t="shared" si="1"/>
        <v>421311.78473636199</v>
      </c>
      <c r="K14" s="6">
        <f t="shared" si="1"/>
        <v>420261.13190659549</v>
      </c>
      <c r="L14" s="6">
        <f t="shared" si="1"/>
        <v>419213.09915869881</v>
      </c>
      <c r="M14" s="6">
        <f t="shared" si="1"/>
        <v>418167.67995880183</v>
      </c>
      <c r="N14" s="6">
        <f t="shared" si="1"/>
        <v>417124.86778932851</v>
      </c>
    </row>
    <row r="15" spans="1:35" x14ac:dyDescent="0.45">
      <c r="B15" s="5"/>
      <c r="C15" s="5">
        <v>2</v>
      </c>
      <c r="D15" s="5">
        <v>2</v>
      </c>
      <c r="E15" s="5">
        <v>2</v>
      </c>
      <c r="F15" s="5">
        <v>2</v>
      </c>
      <c r="G15" s="5">
        <v>2</v>
      </c>
      <c r="H15" s="5">
        <v>2</v>
      </c>
      <c r="I15" s="5">
        <v>2</v>
      </c>
      <c r="J15" s="5">
        <v>2</v>
      </c>
      <c r="K15" s="5">
        <v>2</v>
      </c>
      <c r="L15" s="5">
        <v>2</v>
      </c>
      <c r="M15" s="5">
        <v>2</v>
      </c>
      <c r="N15" s="5">
        <v>2</v>
      </c>
      <c r="O15" t="s">
        <v>82</v>
      </c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35" x14ac:dyDescent="0.45">
      <c r="B16" s="6"/>
      <c r="C16" s="5">
        <v>1</v>
      </c>
      <c r="D16" s="5">
        <v>2</v>
      </c>
      <c r="E16" s="5">
        <v>3</v>
      </c>
      <c r="F16" s="5">
        <v>4</v>
      </c>
      <c r="G16" s="5">
        <v>5</v>
      </c>
      <c r="H16" s="5">
        <v>6</v>
      </c>
      <c r="I16" s="5">
        <v>7</v>
      </c>
      <c r="J16" s="5">
        <v>8</v>
      </c>
      <c r="K16" s="5">
        <v>9</v>
      </c>
      <c r="L16" s="5">
        <v>10</v>
      </c>
      <c r="M16" s="5">
        <v>11</v>
      </c>
      <c r="N16" s="5">
        <v>12</v>
      </c>
      <c r="O16" t="s">
        <v>83</v>
      </c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x14ac:dyDescent="0.45">
      <c r="B17" s="6"/>
      <c r="C17" s="6">
        <f t="shared" ref="C17:N17" si="2">$C13</f>
        <v>429812.11979556089</v>
      </c>
      <c r="D17" s="6">
        <f t="shared" si="2"/>
        <v>429812.11979556089</v>
      </c>
      <c r="E17" s="6">
        <f t="shared" si="2"/>
        <v>429812.11979556089</v>
      </c>
      <c r="F17" s="6">
        <f t="shared" si="2"/>
        <v>429812.11979556089</v>
      </c>
      <c r="G17" s="6">
        <f t="shared" si="2"/>
        <v>429812.11979556089</v>
      </c>
      <c r="H17" s="6">
        <f t="shared" si="2"/>
        <v>429812.11979556089</v>
      </c>
      <c r="I17" s="6">
        <f t="shared" si="2"/>
        <v>429812.11979556089</v>
      </c>
      <c r="J17" s="6">
        <f t="shared" si="2"/>
        <v>429812.11979556089</v>
      </c>
      <c r="K17" s="6">
        <f t="shared" si="2"/>
        <v>429812.11979556089</v>
      </c>
      <c r="L17" s="6">
        <f t="shared" si="2"/>
        <v>429812.11979556089</v>
      </c>
      <c r="M17" s="6">
        <f t="shared" si="2"/>
        <v>429812.11979556089</v>
      </c>
      <c r="N17" s="6">
        <f t="shared" si="2"/>
        <v>429812.11979556089</v>
      </c>
      <c r="O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x14ac:dyDescent="0.45">
      <c r="B18" s="6"/>
      <c r="C18" s="6">
        <f t="shared" ref="C18:N18" si="3">C17/(1+$C$1)^($B$3*(C15-1)+C16)</f>
        <v>416084.65614895604</v>
      </c>
      <c r="D18" s="6">
        <f t="shared" si="3"/>
        <v>415047.03855257476</v>
      </c>
      <c r="E18" s="6">
        <f t="shared" si="3"/>
        <v>414012.00853124668</v>
      </c>
      <c r="F18" s="6">
        <f t="shared" si="3"/>
        <v>412979.55963216617</v>
      </c>
      <c r="G18" s="6">
        <f t="shared" si="3"/>
        <v>411949.68541861972</v>
      </c>
      <c r="H18" s="6">
        <f t="shared" si="3"/>
        <v>410922.3794699448</v>
      </c>
      <c r="I18" s="6">
        <f t="shared" si="3"/>
        <v>409897.63538149116</v>
      </c>
      <c r="J18" s="6">
        <f t="shared" si="3"/>
        <v>408875.44676457962</v>
      </c>
      <c r="K18" s="6">
        <f t="shared" si="3"/>
        <v>407855.80724646355</v>
      </c>
      <c r="L18" s="6">
        <f t="shared" si="3"/>
        <v>406838.71047028794</v>
      </c>
      <c r="M18" s="6">
        <f t="shared" si="3"/>
        <v>405824.15009505028</v>
      </c>
      <c r="N18" s="6">
        <f t="shared" si="3"/>
        <v>404812.11979556142</v>
      </c>
      <c r="O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x14ac:dyDescent="0.45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x14ac:dyDescent="0.45">
      <c r="A20" t="s">
        <v>45</v>
      </c>
    </row>
    <row r="21" spans="1:27" x14ac:dyDescent="0.45">
      <c r="C21" s="5">
        <v>1</v>
      </c>
      <c r="D21" s="5">
        <v>1</v>
      </c>
      <c r="E21" s="5">
        <v>1</v>
      </c>
      <c r="F21" s="5">
        <v>1</v>
      </c>
      <c r="G21" s="5">
        <v>1</v>
      </c>
      <c r="H21" s="5">
        <v>1</v>
      </c>
      <c r="I21" s="5">
        <v>1</v>
      </c>
      <c r="J21" s="5">
        <v>1</v>
      </c>
      <c r="K21" s="5">
        <v>1</v>
      </c>
      <c r="L21" s="5">
        <v>1</v>
      </c>
      <c r="M21" s="5">
        <v>1</v>
      </c>
      <c r="N21" s="5">
        <v>1</v>
      </c>
      <c r="O21" t="s">
        <v>82</v>
      </c>
    </row>
    <row r="22" spans="1:27" x14ac:dyDescent="0.45">
      <c r="B22" s="5" t="s">
        <v>85</v>
      </c>
      <c r="C22" s="5">
        <v>1</v>
      </c>
      <c r="D22" s="5">
        <v>2</v>
      </c>
      <c r="E22" s="5">
        <v>3</v>
      </c>
      <c r="F22" s="5">
        <v>4</v>
      </c>
      <c r="G22" s="5">
        <v>5</v>
      </c>
      <c r="H22" s="5">
        <v>6</v>
      </c>
      <c r="I22" s="5">
        <v>7</v>
      </c>
      <c r="J22" s="5">
        <v>8</v>
      </c>
      <c r="K22" s="5">
        <v>9</v>
      </c>
      <c r="L22" s="5">
        <v>10</v>
      </c>
      <c r="M22" s="5">
        <v>11</v>
      </c>
      <c r="N22" s="5">
        <v>12</v>
      </c>
      <c r="O22" t="s">
        <v>83</v>
      </c>
    </row>
    <row r="23" spans="1:27" x14ac:dyDescent="0.45">
      <c r="A23" t="s">
        <v>35</v>
      </c>
      <c r="C23" s="6">
        <f>$C$9</f>
        <v>429812.11979556934</v>
      </c>
      <c r="D23" s="6">
        <f>$C$9</f>
        <v>429812.11979556934</v>
      </c>
      <c r="E23" s="6">
        <f>$C$9</f>
        <v>429812.11979556934</v>
      </c>
      <c r="F23" s="6">
        <f t="shared" ref="C23:N29" si="4">$C$9</f>
        <v>429812.11979556934</v>
      </c>
      <c r="G23" s="6">
        <f t="shared" si="4"/>
        <v>429812.11979556934</v>
      </c>
      <c r="H23" s="6">
        <f t="shared" si="4"/>
        <v>429812.11979556934</v>
      </c>
      <c r="I23" s="6">
        <f t="shared" si="4"/>
        <v>429812.11979556934</v>
      </c>
      <c r="J23" s="6">
        <f t="shared" si="4"/>
        <v>429812.11979556934</v>
      </c>
      <c r="K23" s="6">
        <f t="shared" si="4"/>
        <v>429812.11979556934</v>
      </c>
      <c r="L23" s="6">
        <f t="shared" si="4"/>
        <v>429812.11979556934</v>
      </c>
      <c r="M23" s="6">
        <f t="shared" si="4"/>
        <v>429812.11979556934</v>
      </c>
      <c r="N23" s="6">
        <f t="shared" si="4"/>
        <v>429812.11979556934</v>
      </c>
    </row>
    <row r="24" spans="1:27" x14ac:dyDescent="0.45">
      <c r="A24" t="s">
        <v>38</v>
      </c>
      <c r="B24" s="6">
        <f>B7</f>
        <v>10000000</v>
      </c>
      <c r="C24" s="6">
        <f t="shared" ref="C24:N24" si="5">B24-C26</f>
        <v>9595187.8802044298</v>
      </c>
      <c r="D24" s="6">
        <f t="shared" si="5"/>
        <v>9189363.7301093712</v>
      </c>
      <c r="E24" s="6">
        <f t="shared" si="5"/>
        <v>8782525.0196390748</v>
      </c>
      <c r="F24" s="6">
        <f t="shared" si="5"/>
        <v>8374669.212392603</v>
      </c>
      <c r="G24" s="6">
        <f t="shared" si="5"/>
        <v>7965793.7656280156</v>
      </c>
      <c r="H24" s="6">
        <f t="shared" si="5"/>
        <v>7555896.1302465163</v>
      </c>
      <c r="I24" s="6">
        <f t="shared" si="5"/>
        <v>7144973.7507765628</v>
      </c>
      <c r="J24" s="6">
        <f t="shared" si="5"/>
        <v>6733024.0653579347</v>
      </c>
      <c r="K24" s="6">
        <f t="shared" si="5"/>
        <v>6320044.50572576</v>
      </c>
      <c r="L24" s="6">
        <f t="shared" si="5"/>
        <v>5906032.4971945053</v>
      </c>
      <c r="M24" s="6">
        <f t="shared" si="5"/>
        <v>5490985.4586419221</v>
      </c>
      <c r="N24" s="6">
        <f t="shared" si="5"/>
        <v>5074900.8024929576</v>
      </c>
    </row>
    <row r="25" spans="1:27" x14ac:dyDescent="0.45">
      <c r="A25" t="s">
        <v>36</v>
      </c>
      <c r="C25" s="6">
        <f t="shared" ref="C25:N25" si="6">B24*$C$1</f>
        <v>25000</v>
      </c>
      <c r="D25" s="6">
        <f t="shared" si="6"/>
        <v>23987.969700511076</v>
      </c>
      <c r="E25" s="6">
        <f t="shared" si="6"/>
        <v>22973.409325273427</v>
      </c>
      <c r="F25" s="6">
        <f t="shared" si="6"/>
        <v>21956.312549097689</v>
      </c>
      <c r="G25" s="6">
        <f t="shared" si="6"/>
        <v>20936.673030981507</v>
      </c>
      <c r="H25" s="6">
        <f t="shared" si="6"/>
        <v>19914.484414070041</v>
      </c>
      <c r="I25" s="6">
        <f t="shared" si="6"/>
        <v>18889.740325616291</v>
      </c>
      <c r="J25" s="6">
        <f t="shared" si="6"/>
        <v>17862.434376941408</v>
      </c>
      <c r="K25" s="6">
        <f t="shared" si="6"/>
        <v>16832.560163394835</v>
      </c>
      <c r="L25" s="6">
        <f t="shared" si="6"/>
        <v>15800.111264314401</v>
      </c>
      <c r="M25" s="6">
        <f t="shared" si="6"/>
        <v>14765.081242986264</v>
      </c>
      <c r="N25" s="6">
        <f t="shared" si="6"/>
        <v>13727.463646604805</v>
      </c>
    </row>
    <row r="26" spans="1:27" x14ac:dyDescent="0.45">
      <c r="A26" t="s">
        <v>37</v>
      </c>
      <c r="C26" s="6">
        <f t="shared" ref="C26:N26" si="7">C23-C25</f>
        <v>404812.11979556934</v>
      </c>
      <c r="D26" s="6">
        <f t="shared" si="7"/>
        <v>405824.15009505826</v>
      </c>
      <c r="E26" s="6">
        <f t="shared" si="7"/>
        <v>406838.71047029592</v>
      </c>
      <c r="F26" s="6">
        <f t="shared" si="7"/>
        <v>407855.80724647164</v>
      </c>
      <c r="G26" s="6">
        <f t="shared" si="7"/>
        <v>408875.44676458783</v>
      </c>
      <c r="H26" s="6">
        <f t="shared" si="7"/>
        <v>409897.63538149931</v>
      </c>
      <c r="I26" s="6">
        <f t="shared" si="7"/>
        <v>410922.37946995307</v>
      </c>
      <c r="J26" s="6">
        <f t="shared" si="7"/>
        <v>411949.68541862792</v>
      </c>
      <c r="K26" s="6">
        <f t="shared" si="7"/>
        <v>412979.5596321745</v>
      </c>
      <c r="L26" s="6">
        <f t="shared" si="7"/>
        <v>414012.00853125495</v>
      </c>
      <c r="M26" s="6">
        <f t="shared" si="7"/>
        <v>415047.03855258308</v>
      </c>
      <c r="N26" s="6">
        <f t="shared" si="7"/>
        <v>416084.65614896454</v>
      </c>
    </row>
    <row r="27" spans="1:27" x14ac:dyDescent="0.45">
      <c r="C27" s="5">
        <v>2</v>
      </c>
      <c r="D27" s="5">
        <v>2</v>
      </c>
      <c r="E27" s="5">
        <v>2</v>
      </c>
      <c r="F27" s="5">
        <v>2</v>
      </c>
      <c r="G27" s="5">
        <v>2</v>
      </c>
      <c r="H27" s="5">
        <v>2</v>
      </c>
      <c r="I27" s="5">
        <v>2</v>
      </c>
      <c r="J27" s="5">
        <v>2</v>
      </c>
      <c r="K27" s="5">
        <v>2</v>
      </c>
      <c r="L27" s="5">
        <v>2</v>
      </c>
      <c r="M27" s="5">
        <v>2</v>
      </c>
      <c r="N27" s="5">
        <v>2</v>
      </c>
      <c r="O27" t="s">
        <v>82</v>
      </c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x14ac:dyDescent="0.45">
      <c r="C28" s="5">
        <v>1</v>
      </c>
      <c r="D28" s="5">
        <v>2</v>
      </c>
      <c r="E28" s="5">
        <v>3</v>
      </c>
      <c r="F28" s="5">
        <v>4</v>
      </c>
      <c r="G28" s="5">
        <v>5</v>
      </c>
      <c r="H28" s="5">
        <v>6</v>
      </c>
      <c r="I28" s="5">
        <v>7</v>
      </c>
      <c r="J28" s="5">
        <v>8</v>
      </c>
      <c r="K28" s="5">
        <v>9</v>
      </c>
      <c r="L28" s="5">
        <v>10</v>
      </c>
      <c r="M28" s="5">
        <v>11</v>
      </c>
      <c r="N28" s="5">
        <v>12</v>
      </c>
      <c r="O28" t="s">
        <v>83</v>
      </c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x14ac:dyDescent="0.45">
      <c r="A29" t="s">
        <v>35</v>
      </c>
      <c r="C29" s="6">
        <f t="shared" si="4"/>
        <v>429812.11979556934</v>
      </c>
      <c r="D29" s="6">
        <f t="shared" si="4"/>
        <v>429812.11979556934</v>
      </c>
      <c r="E29" s="6">
        <f t="shared" si="4"/>
        <v>429812.11979556934</v>
      </c>
      <c r="F29" s="6">
        <f t="shared" si="4"/>
        <v>429812.11979556934</v>
      </c>
      <c r="G29" s="6">
        <f t="shared" si="4"/>
        <v>429812.11979556934</v>
      </c>
      <c r="H29" s="6">
        <f t="shared" si="4"/>
        <v>429812.11979556934</v>
      </c>
      <c r="I29" s="6">
        <f t="shared" si="4"/>
        <v>429812.11979556934</v>
      </c>
      <c r="J29" s="6">
        <f t="shared" si="4"/>
        <v>429812.11979556934</v>
      </c>
      <c r="K29" s="6">
        <f t="shared" si="4"/>
        <v>429812.11979556934</v>
      </c>
      <c r="L29" s="6">
        <f t="shared" si="4"/>
        <v>429812.11979556934</v>
      </c>
      <c r="M29" s="6">
        <f t="shared" si="4"/>
        <v>429812.11979556934</v>
      </c>
      <c r="N29" s="6">
        <f t="shared" si="4"/>
        <v>429812.11979556934</v>
      </c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x14ac:dyDescent="0.45">
      <c r="A30" t="s">
        <v>38</v>
      </c>
      <c r="C30" s="6">
        <f>N24-C32</f>
        <v>4657775.9347036202</v>
      </c>
      <c r="D30" s="6">
        <f t="shared" ref="D30:N30" si="8">C30-D32</f>
        <v>4239608.2547448101</v>
      </c>
      <c r="E30" s="6">
        <f t="shared" si="8"/>
        <v>3820395.155586103</v>
      </c>
      <c r="F30" s="6">
        <f t="shared" si="8"/>
        <v>3400134.023679499</v>
      </c>
      <c r="G30" s="6">
        <f t="shared" si="8"/>
        <v>2978822.2389431284</v>
      </c>
      <c r="H30" s="6">
        <f t="shared" si="8"/>
        <v>2556457.1747449171</v>
      </c>
      <c r="I30" s="6">
        <f t="shared" si="8"/>
        <v>2133036.1978862099</v>
      </c>
      <c r="J30" s="6">
        <f t="shared" si="8"/>
        <v>1708556.6685853561</v>
      </c>
      <c r="K30" s="6">
        <f t="shared" si="8"/>
        <v>1283015.94046125</v>
      </c>
      <c r="L30" s="6">
        <f t="shared" si="8"/>
        <v>856411.36051683384</v>
      </c>
      <c r="M30" s="6">
        <f t="shared" si="8"/>
        <v>428740.26912255661</v>
      </c>
      <c r="N30" s="6">
        <f t="shared" si="8"/>
        <v>-2.0634615793824196E-7</v>
      </c>
      <c r="O30" t="s">
        <v>87</v>
      </c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x14ac:dyDescent="0.45">
      <c r="A31" t="s">
        <v>36</v>
      </c>
      <c r="C31" s="6">
        <f>N24*$C$1</f>
        <v>12687.252006232395</v>
      </c>
      <c r="D31" s="6">
        <f t="shared" ref="D31:N31" si="9">C30*$C$1</f>
        <v>11644.439836759051</v>
      </c>
      <c r="E31" s="6">
        <f t="shared" si="9"/>
        <v>10599.020636862026</v>
      </c>
      <c r="F31" s="6">
        <f t="shared" si="9"/>
        <v>9550.9878889652573</v>
      </c>
      <c r="G31" s="6">
        <f t="shared" si="9"/>
        <v>8500.3350591987473</v>
      </c>
      <c r="H31" s="6">
        <f t="shared" si="9"/>
        <v>7447.0555973578212</v>
      </c>
      <c r="I31" s="6">
        <f t="shared" si="9"/>
        <v>6391.142936862293</v>
      </c>
      <c r="J31" s="6">
        <f t="shared" si="9"/>
        <v>5332.590494715525</v>
      </c>
      <c r="K31" s="6">
        <f t="shared" si="9"/>
        <v>4271.3916714633906</v>
      </c>
      <c r="L31" s="6">
        <f t="shared" si="9"/>
        <v>3207.5398511531253</v>
      </c>
      <c r="M31" s="6">
        <f t="shared" si="9"/>
        <v>2141.0284012920847</v>
      </c>
      <c r="N31" s="6">
        <f t="shared" si="9"/>
        <v>1071.8506728063915</v>
      </c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x14ac:dyDescent="0.45">
      <c r="A32" t="s">
        <v>37</v>
      </c>
      <c r="C32" s="6">
        <f t="shared" ref="C32:N32" si="10">C29-C31</f>
        <v>417124.86778933695</v>
      </c>
      <c r="D32" s="6">
        <f t="shared" si="10"/>
        <v>418167.67995881027</v>
      </c>
      <c r="E32" s="6">
        <f t="shared" si="10"/>
        <v>419213.09915870731</v>
      </c>
      <c r="F32" s="6">
        <f t="shared" si="10"/>
        <v>420261.1319066041</v>
      </c>
      <c r="G32" s="6">
        <f t="shared" si="10"/>
        <v>421311.78473637061</v>
      </c>
      <c r="H32" s="6">
        <f t="shared" si="10"/>
        <v>422365.06419821153</v>
      </c>
      <c r="I32" s="6">
        <f t="shared" si="10"/>
        <v>423420.97685870703</v>
      </c>
      <c r="J32" s="6">
        <f t="shared" si="10"/>
        <v>424479.52930085378</v>
      </c>
      <c r="K32" s="6">
        <f t="shared" si="10"/>
        <v>425540.72812410595</v>
      </c>
      <c r="L32" s="6">
        <f t="shared" si="10"/>
        <v>426604.57994441618</v>
      </c>
      <c r="M32" s="6">
        <f t="shared" si="10"/>
        <v>427671.09139427723</v>
      </c>
      <c r="N32" s="6">
        <f t="shared" si="10"/>
        <v>428740.26912276295</v>
      </c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テスト</vt:lpstr>
      <vt:lpstr>例1)均等返済</vt:lpstr>
      <vt:lpstr>関数いろいろ</vt:lpstr>
      <vt:lpstr>関数 債券</vt:lpstr>
      <vt:lpstr>関数 債券2</vt:lpstr>
      <vt:lpstr>例2)均等返済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tsuji</dc:creator>
  <cp:lastModifiedBy>crossing_corner@keio.jp</cp:lastModifiedBy>
  <dcterms:created xsi:type="dcterms:W3CDTF">2016-04-21T00:01:07Z</dcterms:created>
  <dcterms:modified xsi:type="dcterms:W3CDTF">2024-06-26T01:48:15Z</dcterms:modified>
</cp:coreProperties>
</file>